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GERAD\DF\SEAD\Contratos\2020\"/>
    </mc:Choice>
  </mc:AlternateContent>
  <bookViews>
    <workbookView xWindow="0" yWindow="0" windowWidth="24000" windowHeight="9000" tabRatio="933" firstSheet="2" activeTab="9"/>
  </bookViews>
  <sheets>
    <sheet name="TOTAIS" sheetId="18" r:id="rId1"/>
    <sheet name="Matriz" sheetId="17" r:id="rId2"/>
    <sheet name="CCT" sheetId="16" r:id="rId3"/>
    <sheet name="Técnico(a) em Secretariado 44h" sheetId="2" r:id="rId4"/>
    <sheet name="Auxiliar de Arquivo 44h" sheetId="23" r:id="rId5"/>
    <sheet name="Auxiliar de Arquivo 12x36 Diurn" sheetId="22" r:id="rId6"/>
    <sheet name="Auxiliar de Arquivo 12x36 Notur" sheetId="21" r:id="rId7"/>
    <sheet name="Carregador 44h" sheetId="24" r:id="rId8"/>
    <sheet name="Encarregado 44h" sheetId="27" r:id="rId9"/>
    <sheet name="Uniformes" sheetId="14" r:id="rId10"/>
    <sheet name="EPI's" sheetId="15" r:id="rId11"/>
  </sheets>
  <calcPr calcId="162913"/>
</workbook>
</file>

<file path=xl/calcChain.xml><?xml version="1.0" encoding="utf-8"?>
<calcChain xmlns="http://schemas.openxmlformats.org/spreadsheetml/2006/main">
  <c r="H24" i="15" l="1"/>
  <c r="E24" i="21" l="1"/>
  <c r="H19" i="15" l="1"/>
  <c r="H20" i="15"/>
  <c r="C24" i="17" l="1"/>
  <c r="D56" i="27" l="1"/>
  <c r="D55" i="27"/>
  <c r="D54" i="27"/>
  <c r="E30" i="27"/>
  <c r="E24" i="27"/>
  <c r="E31" i="27" s="1"/>
  <c r="D27" i="27"/>
  <c r="D26" i="27"/>
  <c r="E26" i="27" s="1"/>
  <c r="D25" i="27"/>
  <c r="D19" i="27"/>
  <c r="A3" i="27" s="1"/>
  <c r="D18" i="27"/>
  <c r="D8" i="27"/>
  <c r="D103" i="27"/>
  <c r="D107" i="27" s="1"/>
  <c r="B63" i="27"/>
  <c r="B62" i="27"/>
  <c r="B61" i="27"/>
  <c r="B56" i="27"/>
  <c r="B55" i="27"/>
  <c r="B54" i="27"/>
  <c r="D49" i="27"/>
  <c r="D20" i="27"/>
  <c r="D14" i="27"/>
  <c r="D13" i="27"/>
  <c r="D12" i="27"/>
  <c r="D11" i="27"/>
  <c r="D7" i="27"/>
  <c r="D6" i="27"/>
  <c r="D5" i="27"/>
  <c r="A2" i="27"/>
  <c r="D56" i="24"/>
  <c r="D55" i="24"/>
  <c r="D54" i="24"/>
  <c r="D27" i="24"/>
  <c r="D26" i="24"/>
  <c r="E26" i="24" s="1"/>
  <c r="D25" i="24"/>
  <c r="E30" i="24"/>
  <c r="E24" i="24"/>
  <c r="E31" i="24" s="1"/>
  <c r="D19" i="24"/>
  <c r="A3" i="24" s="1"/>
  <c r="D18" i="24"/>
  <c r="D8" i="24"/>
  <c r="D103" i="24"/>
  <c r="D107" i="24" s="1"/>
  <c r="B63" i="24"/>
  <c r="B62" i="24"/>
  <c r="B61" i="24"/>
  <c r="B56" i="24"/>
  <c r="B55" i="24"/>
  <c r="B54" i="24"/>
  <c r="D49" i="24"/>
  <c r="D20" i="24"/>
  <c r="D14" i="24"/>
  <c r="D13" i="24"/>
  <c r="D12" i="24"/>
  <c r="D11" i="24"/>
  <c r="D7" i="24"/>
  <c r="D6" i="24"/>
  <c r="D5" i="24"/>
  <c r="A2" i="24"/>
  <c r="D27" i="21"/>
  <c r="D26" i="21"/>
  <c r="E26" i="21" s="1"/>
  <c r="D25" i="21"/>
  <c r="E25" i="21" s="1"/>
  <c r="D27" i="22"/>
  <c r="D26" i="22"/>
  <c r="D25" i="22"/>
  <c r="D27" i="23"/>
  <c r="D26" i="23"/>
  <c r="D25" i="23"/>
  <c r="D56" i="21"/>
  <c r="D55" i="21"/>
  <c r="D54" i="21"/>
  <c r="E30" i="21"/>
  <c r="D19" i="21"/>
  <c r="A3" i="21" s="1"/>
  <c r="D18" i="21"/>
  <c r="D8" i="21"/>
  <c r="D103" i="21"/>
  <c r="D107" i="21" s="1"/>
  <c r="B63" i="21"/>
  <c r="B62" i="21"/>
  <c r="B61" i="21"/>
  <c r="B56" i="21"/>
  <c r="B55" i="21"/>
  <c r="B54" i="21"/>
  <c r="D49" i="21"/>
  <c r="D20" i="21"/>
  <c r="D14" i="21"/>
  <c r="D13" i="21"/>
  <c r="D12" i="21"/>
  <c r="D11" i="21"/>
  <c r="D7" i="21"/>
  <c r="D6" i="21"/>
  <c r="D5" i="21"/>
  <c r="A2" i="21"/>
  <c r="D56" i="22"/>
  <c r="D55" i="22"/>
  <c r="D54" i="22"/>
  <c r="E30" i="22"/>
  <c r="E24" i="22"/>
  <c r="D19" i="22"/>
  <c r="A3" i="22" s="1"/>
  <c r="D18" i="22"/>
  <c r="E29" i="22" s="1"/>
  <c r="D14" i="22"/>
  <c r="D8" i="22"/>
  <c r="D7" i="22"/>
  <c r="D103" i="22"/>
  <c r="D107" i="22" s="1"/>
  <c r="B63" i="22"/>
  <c r="B62" i="22"/>
  <c r="B61" i="22"/>
  <c r="B56" i="22"/>
  <c r="B55" i="22"/>
  <c r="B54" i="22"/>
  <c r="D49" i="22"/>
  <c r="E26" i="22"/>
  <c r="D20" i="22"/>
  <c r="D13" i="22"/>
  <c r="D12" i="22"/>
  <c r="D11" i="22"/>
  <c r="D6" i="22"/>
  <c r="D5" i="22"/>
  <c r="A2" i="22"/>
  <c r="D8" i="23"/>
  <c r="D56" i="23"/>
  <c r="D55" i="23"/>
  <c r="D54" i="23"/>
  <c r="E30" i="23"/>
  <c r="E24" i="23"/>
  <c r="D19" i="23"/>
  <c r="D18" i="23"/>
  <c r="E25" i="27" l="1"/>
  <c r="E25" i="24"/>
  <c r="E31" i="21"/>
  <c r="E25" i="22"/>
  <c r="E27" i="22" s="1"/>
  <c r="E28" i="22" s="1"/>
  <c r="E31" i="22"/>
  <c r="D103" i="23"/>
  <c r="D107" i="23" s="1"/>
  <c r="B63" i="23"/>
  <c r="B62" i="23"/>
  <c r="B61" i="23"/>
  <c r="B56" i="23"/>
  <c r="B55" i="23"/>
  <c r="B54" i="23"/>
  <c r="D49" i="23"/>
  <c r="E31" i="23"/>
  <c r="E26" i="23"/>
  <c r="E25" i="23"/>
  <c r="D20" i="23"/>
  <c r="A3" i="23"/>
  <c r="D14" i="23"/>
  <c r="D13" i="23"/>
  <c r="D12" i="23"/>
  <c r="D11" i="23"/>
  <c r="D7" i="23"/>
  <c r="D6" i="23"/>
  <c r="D5" i="23"/>
  <c r="A2" i="23"/>
  <c r="E27" i="21" l="1"/>
  <c r="E28" i="21" s="1"/>
  <c r="E27" i="27"/>
  <c r="E28" i="27" s="1"/>
  <c r="E27" i="24"/>
  <c r="E28" i="24" s="1"/>
  <c r="E32" i="22"/>
  <c r="E27" i="23"/>
  <c r="E28" i="23" s="1"/>
  <c r="E29" i="21" l="1"/>
  <c r="E32" i="21" s="1"/>
  <c r="D71" i="22"/>
  <c r="D72" i="22"/>
  <c r="E32" i="27"/>
  <c r="E32" i="24"/>
  <c r="D36" i="22"/>
  <c r="D111" i="22"/>
  <c r="D122" i="22" s="1"/>
  <c r="D68" i="22"/>
  <c r="D37" i="22"/>
  <c r="E32" i="23"/>
  <c r="D69" i="22" l="1"/>
  <c r="D70" i="22" s="1"/>
  <c r="D72" i="27"/>
  <c r="D71" i="27"/>
  <c r="D72" i="23"/>
  <c r="D71" i="23"/>
  <c r="D38" i="22"/>
  <c r="D72" i="21"/>
  <c r="D71" i="21"/>
  <c r="D72" i="24"/>
  <c r="D71" i="24"/>
  <c r="D36" i="27"/>
  <c r="D68" i="27"/>
  <c r="D37" i="27"/>
  <c r="D111" i="27"/>
  <c r="D122" i="27" s="1"/>
  <c r="D111" i="24"/>
  <c r="D122" i="24" s="1"/>
  <c r="D68" i="24"/>
  <c r="D37" i="24"/>
  <c r="D36" i="24"/>
  <c r="D111" i="21"/>
  <c r="D122" i="21" s="1"/>
  <c r="D68" i="21"/>
  <c r="D37" i="21"/>
  <c r="D36" i="21"/>
  <c r="D36" i="23"/>
  <c r="D111" i="23"/>
  <c r="D122" i="23" s="1"/>
  <c r="D68" i="23"/>
  <c r="D37" i="23"/>
  <c r="D69" i="23" l="1"/>
  <c r="D70" i="23" s="1"/>
  <c r="D69" i="24"/>
  <c r="D70" i="24" s="1"/>
  <c r="D69" i="27"/>
  <c r="D70" i="27" s="1"/>
  <c r="D69" i="21"/>
  <c r="D70" i="21" s="1"/>
  <c r="E45" i="22"/>
  <c r="E47" i="22"/>
  <c r="E46" i="22"/>
  <c r="E44" i="22"/>
  <c r="E42" i="22"/>
  <c r="E41" i="22"/>
  <c r="E43" i="22"/>
  <c r="E48" i="22"/>
  <c r="D73" i="22" s="1"/>
  <c r="D74" i="22" s="1"/>
  <c r="D113" i="22" s="1"/>
  <c r="D124" i="22" s="1"/>
  <c r="D38" i="21"/>
  <c r="D38" i="23"/>
  <c r="D38" i="24"/>
  <c r="D38" i="27"/>
  <c r="D61" i="22"/>
  <c r="D95" i="22"/>
  <c r="E45" i="27" l="1"/>
  <c r="E43" i="27"/>
  <c r="E46" i="27"/>
  <c r="E41" i="27"/>
  <c r="E47" i="27"/>
  <c r="E42" i="27"/>
  <c r="E44" i="27"/>
  <c r="E48" i="27"/>
  <c r="D73" i="27" s="1"/>
  <c r="D74" i="27" s="1"/>
  <c r="D113" i="27" s="1"/>
  <c r="D124" i="27" s="1"/>
  <c r="D95" i="24"/>
  <c r="E45" i="24"/>
  <c r="E47" i="24"/>
  <c r="E42" i="24"/>
  <c r="E44" i="24"/>
  <c r="E43" i="24"/>
  <c r="E41" i="24"/>
  <c r="E46" i="24"/>
  <c r="E48" i="24"/>
  <c r="D73" i="24" s="1"/>
  <c r="D74" i="24" s="1"/>
  <c r="D113" i="24" s="1"/>
  <c r="D124" i="24" s="1"/>
  <c r="E45" i="23"/>
  <c r="E47" i="23"/>
  <c r="E44" i="23"/>
  <c r="E42" i="23"/>
  <c r="E41" i="23"/>
  <c r="E46" i="23"/>
  <c r="E43" i="23"/>
  <c r="E48" i="23"/>
  <c r="D73" i="23" s="1"/>
  <c r="D74" i="23" s="1"/>
  <c r="D113" i="23" s="1"/>
  <c r="D124" i="23" s="1"/>
  <c r="E42" i="21"/>
  <c r="E44" i="21"/>
  <c r="E46" i="21"/>
  <c r="E48" i="21"/>
  <c r="D73" i="21" s="1"/>
  <c r="D74" i="21" s="1"/>
  <c r="D113" i="21" s="1"/>
  <c r="D124" i="21" s="1"/>
  <c r="E43" i="21"/>
  <c r="E41" i="21"/>
  <c r="E47" i="21"/>
  <c r="E45" i="21"/>
  <c r="D61" i="24"/>
  <c r="E49" i="22"/>
  <c r="D62" i="22" s="1"/>
  <c r="D61" i="27"/>
  <c r="D95" i="27"/>
  <c r="D61" i="21"/>
  <c r="D95" i="21"/>
  <c r="D61" i="23"/>
  <c r="D95" i="23"/>
  <c r="E49" i="27" l="1"/>
  <c r="D62" i="27" s="1"/>
  <c r="E49" i="23"/>
  <c r="D62" i="23" s="1"/>
  <c r="E49" i="21"/>
  <c r="D62" i="21" s="1"/>
  <c r="E49" i="24"/>
  <c r="D62" i="24" s="1"/>
  <c r="E8" i="16"/>
  <c r="D53" i="23" s="1"/>
  <c r="E9" i="16"/>
  <c r="D53" i="22" s="1"/>
  <c r="E10" i="16"/>
  <c r="D53" i="21" s="1"/>
  <c r="E11" i="16"/>
  <c r="D53" i="24" s="1"/>
  <c r="E12" i="16"/>
  <c r="D53" i="27" s="1"/>
  <c r="E7" i="16"/>
  <c r="A8" i="16"/>
  <c r="A9" i="16"/>
  <c r="A10" i="16"/>
  <c r="A11" i="16"/>
  <c r="A12" i="16"/>
  <c r="D23" i="17" l="1"/>
  <c r="C23" i="17"/>
  <c r="A20" i="17"/>
  <c r="A21" i="17"/>
  <c r="A22" i="17"/>
  <c r="A23" i="17"/>
  <c r="A24" i="17"/>
  <c r="A11" i="17"/>
  <c r="A12" i="17"/>
  <c r="A8" i="17"/>
  <c r="A9" i="17"/>
  <c r="A10" i="17"/>
  <c r="A7" i="17"/>
  <c r="E30" i="2"/>
  <c r="F28" i="18"/>
  <c r="E28" i="18"/>
  <c r="D18" i="2" l="1"/>
  <c r="D56" i="2"/>
  <c r="D54" i="2"/>
  <c r="D103" i="2"/>
  <c r="D107" i="2" s="1"/>
  <c r="B55" i="2"/>
  <c r="B56" i="2"/>
  <c r="B54" i="2"/>
  <c r="A7" i="16"/>
  <c r="A19" i="17"/>
  <c r="D20" i="17"/>
  <c r="D21" i="17"/>
  <c r="D22" i="17"/>
  <c r="D24" i="17"/>
  <c r="C20" i="17"/>
  <c r="C21" i="17"/>
  <c r="C22" i="17"/>
  <c r="E24" i="2"/>
  <c r="E31" i="2" s="1"/>
  <c r="D53" i="2"/>
  <c r="B17" i="17"/>
  <c r="D19" i="17"/>
  <c r="C19" i="17"/>
  <c r="D27" i="2"/>
  <c r="D26" i="2"/>
  <c r="E26" i="2" s="1"/>
  <c r="B63" i="2"/>
  <c r="B62" i="2"/>
  <c r="B61" i="2"/>
  <c r="D55" i="2"/>
  <c r="D5" i="2"/>
  <c r="D6" i="2"/>
  <c r="D7" i="2"/>
  <c r="D8" i="2"/>
  <c r="D11" i="2"/>
  <c r="D12" i="2"/>
  <c r="D13" i="2"/>
  <c r="D14" i="2"/>
  <c r="D19" i="2"/>
  <c r="A3" i="2" s="1"/>
  <c r="D20" i="2"/>
  <c r="D25" i="2"/>
  <c r="D49" i="2"/>
  <c r="A2" i="2"/>
  <c r="H27" i="14"/>
  <c r="H28" i="14"/>
  <c r="H29" i="14"/>
  <c r="E14" i="14"/>
  <c r="E13" i="14"/>
  <c r="E12" i="14"/>
  <c r="A3" i="16"/>
  <c r="A2" i="16"/>
  <c r="A1" i="16"/>
  <c r="A2" i="17"/>
  <c r="A1" i="17"/>
  <c r="E11" i="14"/>
  <c r="E14" i="15"/>
  <c r="E13" i="15"/>
  <c r="E12" i="15"/>
  <c r="E11" i="15"/>
  <c r="A2" i="14"/>
  <c r="A2" i="15"/>
  <c r="E8" i="15"/>
  <c r="E7" i="15"/>
  <c r="E6" i="15"/>
  <c r="E7" i="14"/>
  <c r="E6" i="14"/>
  <c r="E8" i="14"/>
  <c r="A3" i="17"/>
  <c r="H25" i="14"/>
  <c r="H18" i="15"/>
  <c r="H24" i="14"/>
  <c r="H26" i="14"/>
  <c r="H25" i="15" l="1"/>
  <c r="H26" i="15" s="1"/>
  <c r="H21" i="15"/>
  <c r="H30" i="14"/>
  <c r="H33" i="14" s="1"/>
  <c r="H34" i="14" s="1"/>
  <c r="H35" i="14" s="1"/>
  <c r="D96" i="22"/>
  <c r="D96" i="21"/>
  <c r="D96" i="23"/>
  <c r="E20" i="17"/>
  <c r="D52" i="23" s="1"/>
  <c r="D57" i="23" s="1"/>
  <c r="D63" i="23" s="1"/>
  <c r="D64" i="23" s="1"/>
  <c r="E23" i="17"/>
  <c r="D52" i="24" s="1"/>
  <c r="D57" i="24" s="1"/>
  <c r="D63" i="24" s="1"/>
  <c r="D64" i="24" s="1"/>
  <c r="E22" i="17"/>
  <c r="D52" i="21" s="1"/>
  <c r="D57" i="21" s="1"/>
  <c r="D63" i="21" s="1"/>
  <c r="D64" i="21" s="1"/>
  <c r="E19" i="17"/>
  <c r="D52" i="2" s="1"/>
  <c r="D57" i="2" s="1"/>
  <c r="D63" i="2" s="1"/>
  <c r="E21" i="17"/>
  <c r="D52" i="22" s="1"/>
  <c r="D57" i="22" s="1"/>
  <c r="D63" i="22" s="1"/>
  <c r="D64" i="22" s="1"/>
  <c r="E25" i="2"/>
  <c r="E24" i="17"/>
  <c r="D52" i="27" s="1"/>
  <c r="D57" i="27" s="1"/>
  <c r="D63" i="27" s="1"/>
  <c r="D64" i="27" s="1"/>
  <c r="D79" i="24" l="1"/>
  <c r="D78" i="24"/>
  <c r="D81" i="24"/>
  <c r="D80" i="24"/>
  <c r="D82" i="24"/>
  <c r="D112" i="24"/>
  <c r="D123" i="24" s="1"/>
  <c r="D79" i="21"/>
  <c r="D81" i="21"/>
  <c r="D82" i="21"/>
  <c r="D112" i="21"/>
  <c r="D123" i="21" s="1"/>
  <c r="D78" i="21"/>
  <c r="D80" i="21"/>
  <c r="D79" i="22"/>
  <c r="D78" i="22"/>
  <c r="D81" i="22"/>
  <c r="D82" i="22"/>
  <c r="D80" i="22"/>
  <c r="D112" i="22"/>
  <c r="D123" i="22" s="1"/>
  <c r="D79" i="23"/>
  <c r="D112" i="23"/>
  <c r="D123" i="23" s="1"/>
  <c r="D81" i="23"/>
  <c r="D82" i="23"/>
  <c r="D78" i="23"/>
  <c r="D80" i="23"/>
  <c r="D93" i="21"/>
  <c r="D93" i="24"/>
  <c r="D93" i="23"/>
  <c r="D93" i="27"/>
  <c r="D93" i="22"/>
  <c r="D93" i="2"/>
  <c r="D94" i="21"/>
  <c r="D94" i="24"/>
  <c r="D94" i="23"/>
  <c r="D94" i="22"/>
  <c r="D79" i="27"/>
  <c r="D82" i="27"/>
  <c r="D78" i="27"/>
  <c r="D81" i="27"/>
  <c r="D80" i="27"/>
  <c r="D112" i="27"/>
  <c r="D123" i="27" s="1"/>
  <c r="E27" i="2"/>
  <c r="E28" i="2" s="1"/>
  <c r="D84" i="21" l="1"/>
  <c r="D88" i="21" s="1"/>
  <c r="D89" i="21" s="1"/>
  <c r="D114" i="21" s="1"/>
  <c r="D125" i="21" s="1"/>
  <c r="D84" i="24"/>
  <c r="D88" i="24" s="1"/>
  <c r="D89" i="24" s="1"/>
  <c r="D114" i="24" s="1"/>
  <c r="D125" i="24" s="1"/>
  <c r="D84" i="23"/>
  <c r="D88" i="23" s="1"/>
  <c r="D89" i="23" s="1"/>
  <c r="D114" i="23" s="1"/>
  <c r="D125" i="23" s="1"/>
  <c r="D84" i="22"/>
  <c r="D88" i="22" s="1"/>
  <c r="D89" i="22" s="1"/>
  <c r="D114" i="22" s="1"/>
  <c r="D125" i="22" s="1"/>
  <c r="D97" i="24"/>
  <c r="D115" i="24" s="1"/>
  <c r="D126" i="24" s="1"/>
  <c r="D97" i="22"/>
  <c r="D115" i="22" s="1"/>
  <c r="D126" i="22" s="1"/>
  <c r="D97" i="27"/>
  <c r="D115" i="27" s="1"/>
  <c r="D126" i="27" s="1"/>
  <c r="D97" i="23"/>
  <c r="D115" i="23" s="1"/>
  <c r="D126" i="23" s="1"/>
  <c r="D97" i="21"/>
  <c r="D115" i="21" s="1"/>
  <c r="D126" i="21" s="1"/>
  <c r="D84" i="27"/>
  <c r="D88" i="27" s="1"/>
  <c r="D89" i="27" s="1"/>
  <c r="D114" i="27" s="1"/>
  <c r="E32" i="2"/>
  <c r="D72" i="2" l="1"/>
  <c r="D71" i="2"/>
  <c r="D36" i="2"/>
  <c r="D127" i="21"/>
  <c r="D127" i="23"/>
  <c r="D127" i="24"/>
  <c r="D127" i="22"/>
  <c r="D116" i="22"/>
  <c r="D116" i="24"/>
  <c r="D116" i="21"/>
  <c r="D116" i="23"/>
  <c r="D116" i="27"/>
  <c r="D125" i="27"/>
  <c r="D111" i="2"/>
  <c r="D122" i="2" s="1"/>
  <c r="H32" i="18" s="1"/>
  <c r="H40" i="18" s="1"/>
  <c r="D68" i="2"/>
  <c r="D37" i="2"/>
  <c r="D69" i="2" l="1"/>
  <c r="D70" i="2" s="1"/>
  <c r="E101" i="21"/>
  <c r="E102" i="21" s="1"/>
  <c r="E101" i="24"/>
  <c r="E102" i="24" s="1"/>
  <c r="E106" i="24" s="1"/>
  <c r="E101" i="22"/>
  <c r="E102" i="22" s="1"/>
  <c r="E106" i="22" s="1"/>
  <c r="E101" i="23"/>
  <c r="E102" i="23" s="1"/>
  <c r="D38" i="2"/>
  <c r="D127" i="27"/>
  <c r="E101" i="27"/>
  <c r="E102" i="27" s="1"/>
  <c r="D61" i="2" l="1"/>
  <c r="E43" i="2"/>
  <c r="E41" i="2"/>
  <c r="E46" i="2"/>
  <c r="E47" i="2"/>
  <c r="E44" i="2"/>
  <c r="E48" i="2"/>
  <c r="D73" i="2" s="1"/>
  <c r="D74" i="2" s="1"/>
  <c r="D113" i="2" s="1"/>
  <c r="D124" i="2" s="1"/>
  <c r="H34" i="18" s="1"/>
  <c r="H42" i="18" s="1"/>
  <c r="E42" i="2"/>
  <c r="E45" i="2"/>
  <c r="E105" i="23"/>
  <c r="E104" i="23"/>
  <c r="E103" i="23"/>
  <c r="E106" i="23"/>
  <c r="E104" i="21"/>
  <c r="E106" i="21"/>
  <c r="E106" i="27"/>
  <c r="D95" i="2"/>
  <c r="D97" i="2" s="1"/>
  <c r="D115" i="2" s="1"/>
  <c r="D126" i="2" s="1"/>
  <c r="H36" i="18" s="1"/>
  <c r="E104" i="22"/>
  <c r="E103" i="22"/>
  <c r="E105" i="22"/>
  <c r="E105" i="21"/>
  <c r="E103" i="21"/>
  <c r="E105" i="24"/>
  <c r="E104" i="24"/>
  <c r="E103" i="24"/>
  <c r="E103" i="27"/>
  <c r="E105" i="27"/>
  <c r="E104" i="27"/>
  <c r="E49" i="2" l="1"/>
  <c r="D62" i="2" s="1"/>
  <c r="D64" i="2" s="1"/>
  <c r="D112" i="2" s="1"/>
  <c r="D123" i="2" s="1"/>
  <c r="H33" i="18" s="1"/>
  <c r="H41" i="18" s="1"/>
  <c r="E107" i="23"/>
  <c r="D117" i="23" s="1"/>
  <c r="D128" i="23" s="1"/>
  <c r="D129" i="23" s="1"/>
  <c r="D81" i="2"/>
  <c r="D79" i="2"/>
  <c r="D82" i="2"/>
  <c r="E107" i="22"/>
  <c r="D117" i="22" s="1"/>
  <c r="D128" i="22" s="1"/>
  <c r="D129" i="22" s="1"/>
  <c r="E107" i="21"/>
  <c r="D117" i="21" s="1"/>
  <c r="D128" i="21" s="1"/>
  <c r="D129" i="21" s="1"/>
  <c r="E107" i="24"/>
  <c r="D117" i="24" s="1"/>
  <c r="D128" i="24" s="1"/>
  <c r="D129" i="24" s="1"/>
  <c r="E107" i="27"/>
  <c r="D117" i="27" s="1"/>
  <c r="D118" i="27" s="1"/>
  <c r="H44" i="18"/>
  <c r="D80" i="2" l="1"/>
  <c r="D78" i="2"/>
  <c r="D118" i="23"/>
  <c r="D118" i="22"/>
  <c r="D118" i="21"/>
  <c r="D128" i="27"/>
  <c r="D129" i="27" s="1"/>
  <c r="D118" i="24"/>
  <c r="D84" i="2" l="1"/>
  <c r="D88" i="2" s="1"/>
  <c r="D89" i="2" s="1"/>
  <c r="D114" i="2" s="1"/>
  <c r="D125" i="2" s="1"/>
  <c r="D127" i="2" s="1"/>
  <c r="D116" i="2"/>
  <c r="H35" i="18" l="1"/>
  <c r="H43" i="18" s="1"/>
  <c r="E101" i="2"/>
  <c r="E102" i="2" s="1"/>
  <c r="E104" i="2" l="1"/>
  <c r="E106" i="2"/>
  <c r="E105" i="2"/>
  <c r="E103" i="2" l="1"/>
  <c r="E107" i="2"/>
  <c r="D117" i="2" s="1"/>
  <c r="D118" i="2" l="1"/>
  <c r="D128" i="2"/>
  <c r="D129" i="2" l="1"/>
  <c r="H37" i="18"/>
  <c r="H45" i="18" s="1"/>
  <c r="H46" i="18" s="1"/>
  <c r="H38" i="18" l="1"/>
</calcChain>
</file>

<file path=xl/comments1.xml><?xml version="1.0" encoding="utf-8"?>
<comments xmlns="http://schemas.openxmlformats.org/spreadsheetml/2006/main">
  <authors>
    <author>luiz.santos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>Informar o número de vales transporte fornecidos por dia. (CLT Art. 458 § 2° e inciso III).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Informar o percentual de periculosidade no posto. (CLT Art. 457 §§ 1°, 2° e 3° e Art.458)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Informar o percentual de insalubridade no posto. (CLT Art. 189 ao 192).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Ausências Legais Fonte:
FIA (2014/2015)
RAIS/TEM (2015)
PNAD/IBGE (2015)
Registro Civil (IBGE) (2015)
INSS (saúde e seguranda do trabalhador) (2014)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Ausências Legais Fonte:
FIA (2014/2015)
RAIS/TEM (2015)
PNAD/IBGE (2015)
Registro Civil (IBGE) (2015)
INSS (saúde e seguranda do trabalhador) (2014)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Ausências Legais Fonte:
FIA (2014/2015)
RAIS/TEM (2015)
PNAD/IBGE (2015)
Registro Civil (IBGE) (2015)
INSS (saúde e seguranda do trabalhador) (2014)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Ausências Legais Fonte:
FIA (2014/2015)
RAIS/TEM (2015)
PNAD/IBGE (2015)
Registro Civil (IBGE) (2015)
INSS (saúde e seguranda do trabalhador) (2014)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>Ausências Legais Fonte:
FIA (2014/2015)
RAIS/TEM (2015)
PNAD/IBGE (2015)
Registro Civil (IBGE) (2015)
INSS (saúde e seguranda do trabalhador) (2014)</t>
        </r>
      </text>
    </comment>
  </commentList>
</comments>
</file>

<file path=xl/comments2.xml><?xml version="1.0" encoding="utf-8"?>
<comments xmlns="http://schemas.openxmlformats.org/spreadsheetml/2006/main">
  <authors>
    <author>luiz.santos</author>
    <author>Priscila Blum Magalhaes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CCT - Cláusula 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CCT - Cláusula 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CCT - Cláusula 16ª - Parágrafo Primeiro = Benefício Social.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CCT - Cláusula </t>
        </r>
      </text>
    </comment>
    <comment ref="I6" authorId="1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Apenas se for previsto em CCT</t>
        </r>
      </text>
    </comment>
  </commentList>
</comments>
</file>

<file path=xl/comments3.xml><?xml version="1.0" encoding="utf-8"?>
<comments xmlns="http://schemas.openxmlformats.org/spreadsheetml/2006/main">
  <authors>
    <author>Priscila Blum Magalhaes</author>
  </authors>
  <commentList>
    <comment ref="D29" authorId="0" shapeId="0">
      <text>
        <r>
          <rPr>
            <b/>
            <sz val="9"/>
            <color indexed="81"/>
            <rFont val="Segoe UI"/>
            <charset val="1"/>
          </rPr>
          <t>Priscila Blum Magalhaes: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6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1/12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1/3*1/12
</t>
        </r>
      </text>
    </comment>
    <comment ref="B68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10% de API
Remunaração/12meses*percentual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8% do valor do API</t>
        </r>
      </text>
    </comment>
    <comment ref="B70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40% do valor do FGTS referente ao API</t>
        </r>
      </text>
    </comment>
    <comment ref="B71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90% de APT</t>
        </r>
        <r>
          <rPr>
            <sz val="9"/>
            <color indexed="81"/>
            <rFont val="Segoe UI"/>
            <family val="2"/>
          </rPr>
          <t xml:space="preserve">
redução de 2 horas por dia durante 30 dias</t>
        </r>
      </text>
    </comment>
    <comment ref="D101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  <comment ref="D102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</commentList>
</comments>
</file>

<file path=xl/comments4.xml><?xml version="1.0" encoding="utf-8"?>
<comments xmlns="http://schemas.openxmlformats.org/spreadsheetml/2006/main">
  <authors>
    <author>Priscila Blum Magalhaes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1/12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1/3*1/12
</t>
        </r>
      </text>
    </comment>
    <comment ref="B68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10% de API
Remunaração/12meses*percentua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8% do valor do API</t>
        </r>
      </text>
    </comment>
    <comment ref="B70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40% do valor do FGTS referente ao API</t>
        </r>
      </text>
    </comment>
    <comment ref="B71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90% de APT
redução de 2 horas por dia durante 30 dias</t>
        </r>
      </text>
    </comment>
    <comment ref="D101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  <comment ref="D102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</commentList>
</comments>
</file>

<file path=xl/comments5.xml><?xml version="1.0" encoding="utf-8"?>
<comments xmlns="http://schemas.openxmlformats.org/spreadsheetml/2006/main">
  <authors>
    <author>Priscila Blum Magalhaes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1/12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1/3*1/12
</t>
        </r>
      </text>
    </comment>
    <comment ref="B68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10% de API
Remunaração/12meses*percentua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8% do valor do API</t>
        </r>
      </text>
    </comment>
    <comment ref="B70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40% do valor do FGTS referente ao API</t>
        </r>
      </text>
    </comment>
    <comment ref="B71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90% de APT
redução de 2 horas por dia durante 30 dias</t>
        </r>
      </text>
    </comment>
    <comment ref="D101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  <comment ref="D102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</commentList>
</comments>
</file>

<file path=xl/comments6.xml><?xml version="1.0" encoding="utf-8"?>
<comments xmlns="http://schemas.openxmlformats.org/spreadsheetml/2006/main">
  <authors>
    <author>Priscila Blum Magalhaes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1/12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1/3*1/12
</t>
        </r>
      </text>
    </comment>
    <comment ref="B68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10% de API
Remunaração/12meses*percentua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8% do valor do API</t>
        </r>
      </text>
    </comment>
    <comment ref="B70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40% do valor do FGTS referente ao API</t>
        </r>
      </text>
    </comment>
    <comment ref="B71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90% de APT
redução de 2 horas por dia durante 30 dias</t>
        </r>
      </text>
    </comment>
    <comment ref="D101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  <comment ref="D102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</commentList>
</comments>
</file>

<file path=xl/comments7.xml><?xml version="1.0" encoding="utf-8"?>
<comments xmlns="http://schemas.openxmlformats.org/spreadsheetml/2006/main">
  <authors>
    <author>Priscila Blum Magalhaes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1/12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1/3*1/12
</t>
        </r>
      </text>
    </comment>
    <comment ref="B68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10% de API
Remunaração/12meses*percentua</t>
        </r>
      </text>
    </comment>
    <comment ref="B69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8% do valor do API</t>
        </r>
      </text>
    </comment>
    <comment ref="B70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40% do valor do FGTS referente ao API</t>
        </r>
      </text>
    </comment>
    <comment ref="B71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90% de APT
redução de 2 horas por dia durante 30 dias</t>
        </r>
      </text>
    </comment>
    <comment ref="D101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  <comment ref="D102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</commentList>
</comments>
</file>

<file path=xl/comments8.xml><?xml version="1.0" encoding="utf-8"?>
<comments xmlns="http://schemas.openxmlformats.org/spreadsheetml/2006/main">
  <authors>
    <author>Priscila Blum Magalhaes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1/12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1/3*1/12
</t>
        </r>
      </text>
    </comment>
    <comment ref="B68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10% de API
Remunaração/12meses*percentua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8% do valor do API</t>
        </r>
      </text>
    </comment>
    <comment ref="B70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40% do valor do FGTS referente ao API</t>
        </r>
      </text>
    </comment>
    <comment ref="B71" authorId="0" shapeId="0">
      <text>
        <r>
          <rPr>
            <b/>
            <sz val="9"/>
            <color indexed="81"/>
            <rFont val="Segoe UI"/>
            <family val="2"/>
          </rPr>
          <t>Priscila Blum Magalhaes:
Considerando 90% de APT
redução de 2 horas por dia durante 30 dias</t>
        </r>
      </text>
    </comment>
    <comment ref="D101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  <comment ref="D102" authorId="0" shapeId="0">
      <text>
        <r>
          <rPr>
            <b/>
            <sz val="9"/>
            <color indexed="81"/>
            <rFont val="Segoe UI"/>
            <family val="2"/>
          </rPr>
          <t>Priscila Blum Magalhaes:</t>
        </r>
        <r>
          <rPr>
            <sz val="9"/>
            <color indexed="81"/>
            <rFont val="Segoe UI"/>
            <family val="2"/>
          </rPr>
          <t xml:space="preserve">
Percentual a ser comprovado pelo fornecedor</t>
        </r>
      </text>
    </comment>
  </commentList>
</comments>
</file>

<file path=xl/comments9.xml><?xml version="1.0" encoding="utf-8"?>
<comments xmlns="http://schemas.openxmlformats.org/spreadsheetml/2006/main">
  <authors>
    <author>Andre Santos De Oliveira</author>
  </authors>
  <commentList>
    <comment ref="F17" authorId="0" shapeId="0">
      <text>
        <r>
          <rPr>
            <b/>
            <sz val="9"/>
            <color indexed="81"/>
            <rFont val="Segoe UI"/>
            <charset val="1"/>
          </rPr>
          <t>Andre Santos De Oliveira: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<sst xmlns="http://schemas.openxmlformats.org/spreadsheetml/2006/main" count="1333" uniqueCount="207">
  <si>
    <t>Planilha de Custos e Formação de Preços</t>
  </si>
  <si>
    <t>Número do Processo</t>
  </si>
  <si>
    <t>A</t>
  </si>
  <si>
    <t>B</t>
  </si>
  <si>
    <t>C</t>
  </si>
  <si>
    <t>Ano Convenção Coletiva do Trabalho</t>
  </si>
  <si>
    <t>D</t>
  </si>
  <si>
    <t>E</t>
  </si>
  <si>
    <t>F</t>
  </si>
  <si>
    <t>G</t>
  </si>
  <si>
    <t>Adicional Periculosidade</t>
  </si>
  <si>
    <t>Adicional Insalubridade</t>
  </si>
  <si>
    <t>Transporte</t>
  </si>
  <si>
    <t>H</t>
  </si>
  <si>
    <t>FGTS</t>
  </si>
  <si>
    <t>INCRA</t>
  </si>
  <si>
    <t>SEBRAE</t>
  </si>
  <si>
    <t>Salário Educação</t>
  </si>
  <si>
    <t>Insumos Diversos</t>
  </si>
  <si>
    <t>Licitação - Modalidade e Número</t>
  </si>
  <si>
    <t>Discriminação dos Serviços</t>
  </si>
  <si>
    <t>Identificação do Serviço</t>
  </si>
  <si>
    <t>Tipo de Serviço</t>
  </si>
  <si>
    <t>Unidade de Medida</t>
  </si>
  <si>
    <t>Dados Complementares para Composição de Custos</t>
  </si>
  <si>
    <t>Salário Normativo da Categoria Profissional</t>
  </si>
  <si>
    <t>Categoria Profissional</t>
  </si>
  <si>
    <t>Módulo 1 - Composição da Remuneração</t>
  </si>
  <si>
    <t>Composição da Remuneração</t>
  </si>
  <si>
    <t>Dados</t>
  </si>
  <si>
    <t>Valor</t>
  </si>
  <si>
    <t>Salário Base</t>
  </si>
  <si>
    <t>Adicional Noturno</t>
  </si>
  <si>
    <t>Módulo 2 - Benefícios Mensais e Diários</t>
  </si>
  <si>
    <t>Benefícios Mensais e Diários</t>
  </si>
  <si>
    <t>Módulo 3 - Insumos Diversos</t>
  </si>
  <si>
    <t>Uniformes</t>
  </si>
  <si>
    <t>Total de Benefícios</t>
  </si>
  <si>
    <t>%</t>
  </si>
  <si>
    <t>Afastamento Maternidade</t>
  </si>
  <si>
    <t>Provisão para Rescisão</t>
  </si>
  <si>
    <t>Aviso Prévio Indenizado</t>
  </si>
  <si>
    <t>Aviso Prévio Trabalhado</t>
  </si>
  <si>
    <t>Custos Indiretos, Tributos e Lucro</t>
  </si>
  <si>
    <t>Custos Indiretos</t>
  </si>
  <si>
    <t>Total Custos Indiretos, Tributos e Lucro</t>
  </si>
  <si>
    <t>Mão de Obra Vinculada ao Contrato</t>
  </si>
  <si>
    <t>Quadro Resumo - Custo Por Empregado</t>
  </si>
  <si>
    <t>Módulo 4 - Encargos Trabalhistas</t>
  </si>
  <si>
    <t>Total por Empregado</t>
  </si>
  <si>
    <t>Município e Estado</t>
  </si>
  <si>
    <t>Data Base da Categoria (Dia/Mês/Ano)</t>
  </si>
  <si>
    <t>Data da Apresentação da Proposta (Dia/Mês/Ano)</t>
  </si>
  <si>
    <t>Número de Meses de Execução Contratual</t>
  </si>
  <si>
    <t>INSS</t>
  </si>
  <si>
    <t>Total mensal</t>
  </si>
  <si>
    <t>Quantidade de postos</t>
  </si>
  <si>
    <t>Subtotal (A+B+C+D)</t>
  </si>
  <si>
    <t>Quadro Resumo - do valor mensal dos serviços</t>
  </si>
  <si>
    <t>Total de Encargos Sociais e Trabalhistas</t>
  </si>
  <si>
    <t>Férias</t>
  </si>
  <si>
    <t>Tributação</t>
  </si>
  <si>
    <t>Outros (especificar)</t>
  </si>
  <si>
    <t>Equipamentos</t>
  </si>
  <si>
    <t>Lucros</t>
  </si>
  <si>
    <t>Total Geral</t>
  </si>
  <si>
    <t>Identificação</t>
  </si>
  <si>
    <t>Descrição</t>
  </si>
  <si>
    <t xml:space="preserve">Quantidade </t>
  </si>
  <si>
    <t xml:space="preserve">Valor Unitário </t>
  </si>
  <si>
    <t>Valor Total</t>
  </si>
  <si>
    <t>Uniformes Valor Médio</t>
  </si>
  <si>
    <t>Valor Médio Mensal</t>
  </si>
  <si>
    <t>Sapato</t>
  </si>
  <si>
    <t>Quadro Descritivo de EPI's</t>
  </si>
  <si>
    <t>Equipamento de Proteção Individual</t>
  </si>
  <si>
    <t>Uniformes (Quantidade Projetada para 12 Meses)</t>
  </si>
  <si>
    <t>Obs. A quantidade de peças do uniformes prevê reposição de 2 (dois) conjuntos a cada 6 (seis) meses, ou quando houver necessidade, para o período de 12 (doze) meses.</t>
  </si>
  <si>
    <t xml:space="preserve">Obs. A quantidade de equipamentos de proteção individual prevê reposição de 2 (dois) conjuntos a cada 6 (seis) meses, ou quando houver necessidade, para o período de 12 (doze) meses. </t>
  </si>
  <si>
    <t>Incidência do FGTS sobre Aviso Prévio Indenizado</t>
  </si>
  <si>
    <t>Totalização de Custos e Formação de Preços</t>
  </si>
  <si>
    <t>Contrato</t>
  </si>
  <si>
    <t>Data</t>
  </si>
  <si>
    <t>Data da apresentação da proposta (mês/ano)</t>
  </si>
  <si>
    <t>Número de meses de execução contratual</t>
  </si>
  <si>
    <t>CBO</t>
  </si>
  <si>
    <t>Qtde Postos</t>
  </si>
  <si>
    <t>Posto de Serviço</t>
  </si>
  <si>
    <t>Totais de Postos de Trabalho</t>
  </si>
  <si>
    <t>Resumo Geral</t>
  </si>
  <si>
    <t>Totais do Contrato</t>
  </si>
  <si>
    <t>Matriz de Índices Individuais</t>
  </si>
  <si>
    <t>Dias</t>
  </si>
  <si>
    <t>Periculosidade</t>
  </si>
  <si>
    <t>Insalubridade</t>
  </si>
  <si>
    <t xml:space="preserve">Desconto de Vale Transporte </t>
  </si>
  <si>
    <t>Valor do Vale Transporte</t>
  </si>
  <si>
    <t>Valor Pgto VT</t>
  </si>
  <si>
    <t>Matriz de Índices Previstos na Convenção Coletiva do Trabalho</t>
  </si>
  <si>
    <t>Curitiba/PR</t>
  </si>
  <si>
    <t>Dados Técnicos</t>
  </si>
  <si>
    <t>Uniformes (Quantidade Projetada para 6 Meses)</t>
  </si>
  <si>
    <t>EPI's - Equipamento Individual de Proteção (6 meses)</t>
  </si>
  <si>
    <t>EPI's - Equipamento Individual de Proteção (12 meses)</t>
  </si>
  <si>
    <t>Lucro Real</t>
  </si>
  <si>
    <t>CCT 2019/2020</t>
  </si>
  <si>
    <t>FORNECEDOR</t>
  </si>
  <si>
    <t>CNPJ</t>
  </si>
  <si>
    <t>nº ___/20__</t>
  </si>
  <si>
    <t>__/__/20__</t>
  </si>
  <si>
    <t>Sindicato - CCT</t>
  </si>
  <si>
    <t>mês / ano</t>
  </si>
  <si>
    <t>Validade CCT</t>
  </si>
  <si>
    <t>Sal. Mínimo ano</t>
  </si>
  <si>
    <t>Vale Trans. Última data de reajuste de valor</t>
  </si>
  <si>
    <t>2.1</t>
  </si>
  <si>
    <t>2.2</t>
  </si>
  <si>
    <t>SESC ou SESI</t>
  </si>
  <si>
    <t>SENAI - SENAC</t>
  </si>
  <si>
    <t>2.3</t>
  </si>
  <si>
    <t>Transportes</t>
  </si>
  <si>
    <t>Vale Alimentação</t>
  </si>
  <si>
    <t>Módulo 3 - Provisão para Rescisão</t>
  </si>
  <si>
    <t>Ausência por acidente de trabalho</t>
  </si>
  <si>
    <t>Quadro Resumo Módulo 4 - Reposição do Profissional Ausente</t>
  </si>
  <si>
    <t>Reposição do Profissional Ausente</t>
  </si>
  <si>
    <t>Módulo 6 - Custos Indiretos, Tributos e Lucro</t>
  </si>
  <si>
    <t>Encargos previdenciarios, FGTS e outras contribuições</t>
  </si>
  <si>
    <t>Módulo 2 - Encargos e Benefícios Mensais, Diários</t>
  </si>
  <si>
    <t xml:space="preserve"> Resumo Módulo 2 - Encargos e Benefícios Mensais, Diários</t>
  </si>
  <si>
    <t>Ausências Justificada</t>
  </si>
  <si>
    <t>Trabalho em domingos e feriados, não compensado</t>
  </si>
  <si>
    <t>Desconto Alimentação</t>
  </si>
  <si>
    <t>Casaco ou Jaqueta</t>
  </si>
  <si>
    <t xml:space="preserve">Suéter </t>
  </si>
  <si>
    <t>Crachá</t>
  </si>
  <si>
    <t>Módulo 2 - Encargos e Benefícios Anuais, Mensais e Diários</t>
  </si>
  <si>
    <t>Módulo 4 - Reposição de Profissional Ausente</t>
  </si>
  <si>
    <t>Total Módulo 1 - Composição da Remuneração</t>
  </si>
  <si>
    <t>Total de Encargos previdenciarios, FGTS e outras contribuições</t>
  </si>
  <si>
    <t>Total de Benefícios Mensais e Diários</t>
  </si>
  <si>
    <t>Encargos e Benefícios Mensais, Diários</t>
  </si>
  <si>
    <t>Total Módulo 2 - Encargos e Benefícios Mensais, Diários</t>
  </si>
  <si>
    <t>Total Provisão para Rescisão</t>
  </si>
  <si>
    <t>4.1</t>
  </si>
  <si>
    <t>Total Reposição do Profissional Ausente</t>
  </si>
  <si>
    <t>Tributos</t>
  </si>
  <si>
    <t>Pis/Pasep</t>
  </si>
  <si>
    <t>Cofins</t>
  </si>
  <si>
    <t>C1</t>
  </si>
  <si>
    <t>C2</t>
  </si>
  <si>
    <t>C3</t>
  </si>
  <si>
    <t xml:space="preserve">Vale Transporte </t>
  </si>
  <si>
    <t>Ausências Legais</t>
  </si>
  <si>
    <t>Licença Paternidade</t>
  </si>
  <si>
    <t>Acidente de trabalho</t>
  </si>
  <si>
    <t>Prestação de Serviço</t>
  </si>
  <si>
    <t>13º Salário e Adicional de Férias</t>
  </si>
  <si>
    <t>Alimentação valor pago</t>
  </si>
  <si>
    <t>Auxílio Saúde</t>
  </si>
  <si>
    <t>Módulo 5 - Insumos Diversos</t>
  </si>
  <si>
    <t>Quadro Módulo 4 - Reposição do Profissional Ausente</t>
  </si>
  <si>
    <t>Multa do FGTS sobre Aviso Prévio Indenizado</t>
  </si>
  <si>
    <t>Subtotal (A+B+C+D+E)</t>
  </si>
  <si>
    <t>Beneficio CCT</t>
  </si>
  <si>
    <t>Mão de Obra Vinculada ao Contrato - Valor Mensal</t>
  </si>
  <si>
    <t>Módulo 4 - Reposição do Profissional Ausente</t>
  </si>
  <si>
    <t>Mádulo 3 - Provisão para Rescisão</t>
  </si>
  <si>
    <t>Módulo 2 - Encargos e Benefícios Mensais e Diários</t>
  </si>
  <si>
    <t>Mão de Obra Vinculada ao Contrato - Valor Anual</t>
  </si>
  <si>
    <t>Total Geral Estimado Global Anual</t>
  </si>
  <si>
    <t>Quadro Módulo 5 - Insumos Diversos</t>
  </si>
  <si>
    <t>Técnico(a) em Secretariado - 44 horas semanais (Segunda a Sexta)</t>
  </si>
  <si>
    <t>Auxiliar de Arquivo - 44 horas semanais (Segunda a Sexta)</t>
  </si>
  <si>
    <t>Auxiliar de Arquivo - 12 x 36 - DIURNO (Segunda a domingo)</t>
  </si>
  <si>
    <t>Auxiliar de Arquivo - 12 x 36 - NOTURNO (Segunda a domingo)</t>
  </si>
  <si>
    <t>Encarregado - 44 horas semanais (Segunda a Sexta)</t>
  </si>
  <si>
    <t>Alimentação por dia</t>
  </si>
  <si>
    <t>Não</t>
  </si>
  <si>
    <t>Sim</t>
  </si>
  <si>
    <t>13º Salário (1/12 da remuneração)</t>
  </si>
  <si>
    <t>Adicional de férias (1/3/12 da remuneração))</t>
  </si>
  <si>
    <t>SAT (1% a 3%)</t>
  </si>
  <si>
    <t>Noturno?</t>
  </si>
  <si>
    <t>EPI</t>
  </si>
  <si>
    <t>Pregão nº ___/20XX</t>
  </si>
  <si>
    <t>23759.020964/2019-25</t>
  </si>
  <si>
    <t>Carregador - Ajudante de apoio - 44 horas semanais (Segunda a Sexta)</t>
  </si>
  <si>
    <t>Luvas PVc/borracha para evitar o contato direto com poeiras /luvas de vaqueta para o transporte de caixas e arquivos</t>
  </si>
  <si>
    <t>Máscaras</t>
  </si>
  <si>
    <t>Sapatos fechados</t>
  </si>
  <si>
    <t>Materiais EPI's</t>
  </si>
  <si>
    <t>Camiseta masculina ou feminina, gola polo, manga curta, tecido em DRYFIT ou malha fria 67% poliéster e 33% viscose.</t>
  </si>
  <si>
    <t>Calça masculina ou feminina tipo jeans azul, modelo tradicional, 2 bolsos laterais, 2 bolsos traseiros e 1 embutido, índigo 12 OZ S2/1, cós e botão, com zíper, peso 10.</t>
  </si>
  <si>
    <t>descanso Semanal Remunerado</t>
  </si>
  <si>
    <t xml:space="preserve">Salário Mínimo Nacional para cálculo de insalubridade </t>
  </si>
  <si>
    <t>Hora Noturna Reduzida</t>
  </si>
  <si>
    <t>Incidência dos Encargos Submódulo 2.2 - Aviso PrévioTrabalhado</t>
  </si>
  <si>
    <t>Intrajornada</t>
  </si>
  <si>
    <t>Qtde Horas Mensais</t>
  </si>
  <si>
    <t>Técnico(a) em Secretariado</t>
  </si>
  <si>
    <t>Qtde Pessoas</t>
  </si>
  <si>
    <t>* Obs.: Sobre os benefícios da CCT caso haja mais que dois, pode-se somar na mesma célula, devendo-se discriminar como comentário na célula.</t>
  </si>
  <si>
    <t>ISS (Retirado da base cálculo o INSS e FGTS, conforme Lei Complementar Municipal nº 58.</t>
  </si>
  <si>
    <t>Multa do FGTS sobre o Aviso Prévio Trabalhado</t>
  </si>
  <si>
    <t>São editáveis as células amarelas, e as células brancas se alteradas devem ser justificadas na própria planilha em forma de comentário ou em célula próxima, desta forma ficando claro os motivos e a metodologia da alteração, não sendo permitida a alteração nas células brancas sem a devida justificava</t>
  </si>
  <si>
    <t>Obs.: Insalubridade: Após a execução contratual o SOST da empresa virá avaliar os postos de trabalho e se constatada a insalubridade será formalizado termo aditivo, desde que comprovado por laudo assinado por responsavel qualificado e o laudo aprovado pelo HC.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</si>
</sst>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\$* #,##0.00_);_(\$* \(#,##0.00\);_(\$* \-??_);_(@_)"/>
    <numFmt numFmtId="167" formatCode="&quot;R$ &quot;#,##0.00"/>
    <numFmt numFmtId="168" formatCode="0.000%"/>
    <numFmt numFmtId="169" formatCode="0.0000%"/>
    <numFmt numFmtId="170" formatCode="0.0000"/>
    <numFmt numFmtId="171" formatCode="&quot;R$&quot;\ 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16"/>
      <color rgb="FF0000CC"/>
      <name val="Arial"/>
      <family val="2"/>
    </font>
    <font>
      <b/>
      <sz val="28"/>
      <color rgb="FF0000CC"/>
      <name val="Times New Roman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165" fontId="1" fillId="0" borderId="0" applyFont="0" applyFill="0" applyBorder="0" applyAlignment="0" applyProtection="0"/>
  </cellStyleXfs>
  <cellXfs count="446">
    <xf numFmtId="0" fontId="0" fillId="0" borderId="0" xfId="0"/>
    <xf numFmtId="0" fontId="2" fillId="0" borderId="1" xfId="0" applyFont="1" applyBorder="1" applyAlignment="1" applyProtection="1">
      <alignment horizontal="center"/>
    </xf>
    <xf numFmtId="164" fontId="2" fillId="2" borderId="1" xfId="1" applyFont="1" applyFill="1" applyBorder="1" applyProtection="1">
      <protection locked="0"/>
    </xf>
    <xf numFmtId="164" fontId="2" fillId="0" borderId="2" xfId="1" applyFont="1" applyBorder="1" applyAlignment="1" applyProtection="1"/>
    <xf numFmtId="164" fontId="4" fillId="0" borderId="3" xfId="1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164" fontId="2" fillId="0" borderId="2" xfId="0" applyNumberFormat="1" applyFont="1" applyBorder="1" applyProtection="1"/>
    <xf numFmtId="164" fontId="4" fillId="0" borderId="3" xfId="0" applyNumberFormat="1" applyFont="1" applyBorder="1" applyProtection="1"/>
    <xf numFmtId="167" fontId="4" fillId="0" borderId="7" xfId="3" applyNumberFormat="1" applyFont="1" applyBorder="1" applyAlignment="1" applyProtection="1">
      <alignment horizontal="center"/>
    </xf>
    <xf numFmtId="167" fontId="4" fillId="0" borderId="8" xfId="3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64" fontId="2" fillId="0" borderId="2" xfId="1" applyFont="1" applyBorder="1" applyProtection="1"/>
    <xf numFmtId="0" fontId="4" fillId="0" borderId="7" xfId="0" applyFont="1" applyFill="1" applyBorder="1" applyAlignment="1" applyProtection="1">
      <alignment horizontal="center"/>
    </xf>
    <xf numFmtId="9" fontId="2" fillId="2" borderId="1" xfId="5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4" fontId="0" fillId="0" borderId="2" xfId="1" applyFont="1" applyBorder="1" applyProtection="1"/>
    <xf numFmtId="164" fontId="0" fillId="0" borderId="3" xfId="1" applyFont="1" applyBorder="1" applyProtection="1"/>
    <xf numFmtId="164" fontId="2" fillId="2" borderId="1" xfId="1" applyFont="1" applyFill="1" applyBorder="1" applyAlignment="1" applyProtection="1">
      <alignment horizontal="center"/>
      <protection locked="0"/>
    </xf>
    <xf numFmtId="164" fontId="2" fillId="0" borderId="10" xfId="0" applyNumberFormat="1" applyFont="1" applyBorder="1" applyProtection="1"/>
    <xf numFmtId="0" fontId="4" fillId="0" borderId="8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7" fontId="2" fillId="0" borderId="0" xfId="3" applyNumberFormat="1" applyProtection="1"/>
    <xf numFmtId="167" fontId="4" fillId="0" borderId="11" xfId="3" applyNumberFormat="1" applyFont="1" applyBorder="1" applyAlignment="1" applyProtection="1">
      <alignment horizontal="center"/>
    </xf>
    <xf numFmtId="167" fontId="2" fillId="0" borderId="0" xfId="3" applyNumberFormat="1" applyFont="1" applyProtection="1"/>
    <xf numFmtId="167" fontId="4" fillId="0" borderId="12" xfId="3" applyNumberFormat="1" applyFont="1" applyBorder="1" applyAlignment="1" applyProtection="1">
      <alignment horizontal="center"/>
    </xf>
    <xf numFmtId="1" fontId="4" fillId="0" borderId="3" xfId="3" applyNumberFormat="1" applyFont="1" applyBorder="1" applyAlignment="1" applyProtection="1">
      <alignment horizontal="center"/>
    </xf>
    <xf numFmtId="167" fontId="4" fillId="0" borderId="13" xfId="3" applyNumberFormat="1" applyFont="1" applyBorder="1" applyAlignment="1" applyProtection="1">
      <alignment horizontal="center"/>
    </xf>
    <xf numFmtId="14" fontId="4" fillId="0" borderId="14" xfId="3" applyNumberFormat="1" applyFont="1" applyBorder="1" applyAlignment="1" applyProtection="1">
      <alignment horizontal="center"/>
    </xf>
    <xf numFmtId="167" fontId="4" fillId="0" borderId="14" xfId="3" applyNumberFormat="1" applyFont="1" applyBorder="1" applyAlignment="1" applyProtection="1">
      <alignment horizontal="center"/>
    </xf>
    <xf numFmtId="0" fontId="4" fillId="0" borderId="14" xfId="3" applyNumberFormat="1" applyFont="1" applyBorder="1" applyAlignment="1" applyProtection="1">
      <alignment horizontal="center"/>
    </xf>
    <xf numFmtId="167" fontId="4" fillId="0" borderId="15" xfId="3" applyNumberFormat="1" applyFont="1" applyBorder="1" applyAlignment="1" applyProtection="1">
      <alignment horizontal="center"/>
    </xf>
    <xf numFmtId="0" fontId="4" fillId="0" borderId="16" xfId="3" applyNumberFormat="1" applyFont="1" applyBorder="1" applyAlignment="1" applyProtection="1">
      <alignment horizontal="center"/>
    </xf>
    <xf numFmtId="167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  <xf numFmtId="167" fontId="4" fillId="0" borderId="1" xfId="0" applyNumberFormat="1" applyFont="1" applyBorder="1" applyAlignment="1" applyProtection="1">
      <alignment horizontal="center"/>
    </xf>
    <xf numFmtId="9" fontId="0" fillId="0" borderId="1" xfId="4" applyFont="1" applyBorder="1" applyAlignment="1" applyProtection="1">
      <alignment horizontal="center"/>
    </xf>
    <xf numFmtId="164" fontId="0" fillId="0" borderId="2" xfId="0" applyNumberFormat="1" applyBorder="1" applyProtection="1"/>
    <xf numFmtId="9" fontId="2" fillId="0" borderId="1" xfId="4" applyFont="1" applyFill="1" applyBorder="1" applyAlignment="1" applyProtection="1">
      <alignment horizontal="center"/>
    </xf>
    <xf numFmtId="164" fontId="4" fillId="0" borderId="17" xfId="0" applyNumberFormat="1" applyFont="1" applyBorder="1" applyProtection="1"/>
    <xf numFmtId="164" fontId="0" fillId="0" borderId="0" xfId="0" applyNumberFormat="1" applyProtection="1"/>
    <xf numFmtId="10" fontId="0" fillId="0" borderId="1" xfId="4" applyNumberFormat="1" applyFont="1" applyBorder="1" applyAlignment="1" applyProtection="1">
      <alignment horizontal="center"/>
    </xf>
    <xf numFmtId="164" fontId="0" fillId="3" borderId="2" xfId="0" applyNumberFormat="1" applyFill="1" applyBorder="1" applyProtection="1"/>
    <xf numFmtId="10" fontId="0" fillId="0" borderId="9" xfId="4" applyNumberFormat="1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64" fontId="4" fillId="0" borderId="20" xfId="0" applyNumberFormat="1" applyFont="1" applyBorder="1" applyProtection="1"/>
    <xf numFmtId="164" fontId="0" fillId="0" borderId="0" xfId="1" applyFont="1" applyProtection="1"/>
    <xf numFmtId="43" fontId="0" fillId="0" borderId="0" xfId="0" applyNumberFormat="1" applyProtection="1"/>
    <xf numFmtId="0" fontId="4" fillId="0" borderId="21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168" fontId="0" fillId="0" borderId="22" xfId="4" applyNumberFormat="1" applyFont="1" applyBorder="1" applyAlignment="1" applyProtection="1">
      <alignment horizontal="center"/>
    </xf>
    <xf numFmtId="164" fontId="4" fillId="0" borderId="10" xfId="1" applyFont="1" applyBorder="1" applyProtection="1"/>
    <xf numFmtId="169" fontId="2" fillId="2" borderId="1" xfId="4" applyNumberFormat="1" applyFont="1" applyFill="1" applyBorder="1" applyAlignment="1" applyProtection="1">
      <alignment horizontal="center"/>
      <protection locked="0"/>
    </xf>
    <xf numFmtId="169" fontId="14" fillId="2" borderId="1" xfId="4" applyNumberFormat="1" applyFont="1" applyFill="1" applyBorder="1" applyAlignment="1" applyProtection="1">
      <alignment horizontal="center"/>
      <protection locked="0"/>
    </xf>
    <xf numFmtId="167" fontId="2" fillId="0" borderId="23" xfId="3" applyNumberFormat="1" applyFont="1" applyBorder="1" applyAlignment="1" applyProtection="1"/>
    <xf numFmtId="167" fontId="2" fillId="0" borderId="24" xfId="3" applyNumberFormat="1" applyFont="1" applyBorder="1" applyAlignment="1" applyProtection="1"/>
    <xf numFmtId="167" fontId="2" fillId="0" borderId="25" xfId="3" applyNumberFormat="1" applyFont="1" applyBorder="1" applyAlignment="1" applyProtection="1"/>
    <xf numFmtId="167" fontId="4" fillId="0" borderId="0" xfId="3" applyNumberFormat="1" applyFont="1" applyBorder="1" applyAlignment="1" applyProtection="1">
      <alignment horizontal="center"/>
    </xf>
    <xf numFmtId="164" fontId="4" fillId="0" borderId="17" xfId="4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9" fontId="14" fillId="7" borderId="1" xfId="4" applyFont="1" applyFill="1" applyBorder="1" applyAlignment="1" applyProtection="1">
      <alignment horizontal="center"/>
    </xf>
    <xf numFmtId="9" fontId="14" fillId="7" borderId="1" xfId="4" applyFont="1" applyFill="1" applyBorder="1" applyAlignment="1" applyProtection="1">
      <alignment horizontal="center"/>
    </xf>
    <xf numFmtId="10" fontId="2" fillId="6" borderId="1" xfId="1" applyNumberFormat="1" applyFont="1" applyFill="1" applyBorder="1" applyAlignment="1" applyProtection="1">
      <alignment horizontal="center"/>
      <protection locked="0"/>
    </xf>
    <xf numFmtId="164" fontId="2" fillId="6" borderId="1" xfId="1" applyFont="1" applyFill="1" applyBorder="1" applyAlignment="1" applyProtection="1">
      <alignment horizontal="center"/>
      <protection locked="0"/>
    </xf>
    <xf numFmtId="164" fontId="14" fillId="7" borderId="1" xfId="1" applyFont="1" applyFill="1" applyBorder="1" applyProtection="1"/>
    <xf numFmtId="0" fontId="2" fillId="0" borderId="0" xfId="0" applyFont="1" applyProtection="1"/>
    <xf numFmtId="0" fontId="0" fillId="0" borderId="27" xfId="0" applyBorder="1" applyAlignment="1" applyProtection="1">
      <alignment horizontal="center"/>
    </xf>
    <xf numFmtId="0" fontId="0" fillId="0" borderId="0" xfId="0" applyAlignment="1" applyProtection="1"/>
    <xf numFmtId="0" fontId="4" fillId="7" borderId="6" xfId="0" applyFont="1" applyFill="1" applyBorder="1" applyAlignment="1" applyProtection="1">
      <alignment horizontal="center"/>
    </xf>
    <xf numFmtId="164" fontId="0" fillId="7" borderId="2" xfId="0" applyNumberFormat="1" applyFill="1" applyBorder="1" applyProtection="1"/>
    <xf numFmtId="164" fontId="14" fillId="7" borderId="2" xfId="1" applyFont="1" applyFill="1" applyBorder="1" applyProtection="1"/>
    <xf numFmtId="0" fontId="4" fillId="0" borderId="7" xfId="0" applyFont="1" applyFill="1" applyBorder="1" applyProtection="1"/>
    <xf numFmtId="0" fontId="4" fillId="0" borderId="1" xfId="3" applyFont="1" applyFill="1" applyBorder="1" applyAlignment="1" applyProtection="1">
      <alignment horizontal="center"/>
    </xf>
    <xf numFmtId="164" fontId="2" fillId="0" borderId="1" xfId="1" applyFont="1" applyBorder="1" applyProtection="1"/>
    <xf numFmtId="0" fontId="2" fillId="0" borderId="1" xfId="0" applyFont="1" applyBorder="1" applyProtection="1"/>
    <xf numFmtId="171" fontId="2" fillId="6" borderId="1" xfId="1" applyNumberFormat="1" applyFont="1" applyFill="1" applyBorder="1" applyAlignment="1" applyProtection="1">
      <alignment horizontal="center"/>
      <protection locked="0"/>
    </xf>
    <xf numFmtId="10" fontId="4" fillId="0" borderId="17" xfId="4" applyNumberFormat="1" applyFont="1" applyBorder="1" applyAlignment="1" applyProtection="1">
      <alignment horizontal="center"/>
    </xf>
    <xf numFmtId="168" fontId="2" fillId="7" borderId="0" xfId="5" applyNumberFormat="1" applyFont="1" applyFill="1" applyBorder="1" applyAlignment="1" applyProtection="1">
      <alignment horizontal="center"/>
      <protection locked="0"/>
    </xf>
    <xf numFmtId="9" fontId="10" fillId="7" borderId="0" xfId="4" applyFont="1" applyFill="1" applyBorder="1" applyAlignment="1" applyProtection="1">
      <alignment horizontal="center"/>
      <protection locked="0"/>
    </xf>
    <xf numFmtId="167" fontId="9" fillId="0" borderId="1" xfId="2" applyNumberFormat="1" applyFont="1" applyFill="1" applyBorder="1" applyAlignment="1" applyProtection="1">
      <alignment horizontal="center"/>
    </xf>
    <xf numFmtId="164" fontId="0" fillId="0" borderId="10" xfId="1" applyFont="1" applyBorder="1" applyProtection="1"/>
    <xf numFmtId="0" fontId="4" fillId="0" borderId="1" xfId="0" applyFont="1" applyFill="1" applyBorder="1" applyAlignment="1" applyProtection="1">
      <alignment horizontal="center"/>
    </xf>
    <xf numFmtId="164" fontId="2" fillId="7" borderId="2" xfId="1" applyFont="1" applyFill="1" applyBorder="1" applyProtection="1"/>
    <xf numFmtId="164" fontId="2" fillId="7" borderId="2" xfId="0" applyNumberFormat="1" applyFont="1" applyFill="1" applyBorder="1" applyProtection="1"/>
    <xf numFmtId="164" fontId="4" fillId="7" borderId="20" xfId="0" applyNumberFormat="1" applyFont="1" applyFill="1" applyBorder="1" applyProtection="1"/>
    <xf numFmtId="170" fontId="2" fillId="7" borderId="1" xfId="4" applyNumberFormat="1" applyFont="1" applyFill="1" applyBorder="1" applyAlignment="1" applyProtection="1">
      <alignment horizontal="center"/>
      <protection locked="0"/>
    </xf>
    <xf numFmtId="2" fontId="10" fillId="7" borderId="1" xfId="4" applyNumberFormat="1" applyFont="1" applyFill="1" applyBorder="1" applyAlignment="1" applyProtection="1">
      <alignment horizontal="center"/>
      <protection locked="0"/>
    </xf>
    <xf numFmtId="0" fontId="9" fillId="0" borderId="1" xfId="3" applyFont="1" applyBorder="1" applyAlignment="1" applyProtection="1">
      <alignment horizontal="center"/>
    </xf>
    <xf numFmtId="10" fontId="9" fillId="0" borderId="1" xfId="2" applyNumberFormat="1" applyFont="1" applyFill="1" applyBorder="1" applyAlignment="1" applyProtection="1">
      <alignment horizontal="center"/>
    </xf>
    <xf numFmtId="170" fontId="2" fillId="7" borderId="1" xfId="5" applyNumberFormat="1" applyFont="1" applyFill="1" applyBorder="1" applyAlignment="1" applyProtection="1">
      <alignment horizontal="center"/>
      <protection locked="0"/>
    </xf>
    <xf numFmtId="2" fontId="2" fillId="7" borderId="1" xfId="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10" fontId="2" fillId="7" borderId="1" xfId="4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Protection="1"/>
    <xf numFmtId="164" fontId="14" fillId="7" borderId="2" xfId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9" fillId="0" borderId="1" xfId="3" applyFont="1" applyFill="1" applyBorder="1" applyAlignment="1" applyProtection="1">
      <alignment horizontal="center"/>
    </xf>
    <xf numFmtId="0" fontId="9" fillId="0" borderId="1" xfId="3" applyFont="1" applyFill="1" applyBorder="1" applyAlignment="1" applyProtection="1">
      <alignment horizontal="center"/>
      <protection locked="0"/>
    </xf>
    <xf numFmtId="167" fontId="4" fillId="0" borderId="0" xfId="3" applyNumberFormat="1" applyFont="1" applyFill="1" applyBorder="1" applyAlignment="1" applyProtection="1">
      <alignment horizontal="left" wrapText="1"/>
    </xf>
    <xf numFmtId="0" fontId="0" fillId="0" borderId="0" xfId="0" applyAlignment="1" applyProtection="1">
      <alignment vertical="center"/>
    </xf>
    <xf numFmtId="164" fontId="0" fillId="0" borderId="3" xfId="1" applyFont="1" applyFill="1" applyBorder="1" applyProtection="1"/>
    <xf numFmtId="10" fontId="0" fillId="0" borderId="0" xfId="4" applyNumberFormat="1" applyFont="1" applyProtection="1"/>
    <xf numFmtId="168" fontId="0" fillId="0" borderId="0" xfId="4" applyNumberFormat="1" applyFont="1" applyProtection="1"/>
    <xf numFmtId="168" fontId="2" fillId="0" borderId="0" xfId="4" applyNumberFormat="1" applyFont="1" applyProtection="1"/>
    <xf numFmtId="165" fontId="0" fillId="0" borderId="0" xfId="6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/>
    </xf>
    <xf numFmtId="164" fontId="2" fillId="0" borderId="0" xfId="1" applyFont="1" applyBorder="1" applyProtection="1"/>
    <xf numFmtId="0" fontId="0" fillId="0" borderId="1" xfId="0" applyBorder="1" applyProtection="1"/>
    <xf numFmtId="0" fontId="2" fillId="0" borderId="1" xfId="0" applyFont="1" applyFill="1" applyBorder="1" applyProtection="1"/>
    <xf numFmtId="0" fontId="2" fillId="0" borderId="2" xfId="0" applyFont="1" applyBorder="1" applyAlignment="1" applyProtection="1">
      <alignment horizontal="left"/>
    </xf>
    <xf numFmtId="167" fontId="4" fillId="0" borderId="1" xfId="3" applyNumberFormat="1" applyFont="1" applyBorder="1" applyAlignment="1" applyProtection="1">
      <alignment horizontal="center" vertical="center" wrapText="1"/>
    </xf>
    <xf numFmtId="0" fontId="4" fillId="0" borderId="1" xfId="3" applyNumberFormat="1" applyFont="1" applyBorder="1" applyAlignment="1" applyProtection="1">
      <alignment horizontal="center" vertical="center" wrapText="1"/>
    </xf>
    <xf numFmtId="0" fontId="4" fillId="7" borderId="1" xfId="3" applyNumberFormat="1" applyFont="1" applyFill="1" applyBorder="1" applyAlignment="1" applyProtection="1">
      <alignment horizontal="center" vertical="center" wrapText="1"/>
    </xf>
    <xf numFmtId="0" fontId="9" fillId="0" borderId="2" xfId="3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quotePrefix="1" applyAlignment="1" applyProtection="1">
      <alignment vertical="center" wrapText="1"/>
    </xf>
    <xf numFmtId="164" fontId="2" fillId="0" borderId="2" xfId="1" applyFont="1" applyBorder="1" applyAlignment="1" applyProtection="1">
      <alignment vertical="center"/>
    </xf>
    <xf numFmtId="167" fontId="4" fillId="0" borderId="6" xfId="3" applyNumberFormat="1" applyFont="1" applyBorder="1" applyAlignment="1" applyProtection="1">
      <alignment vertical="center"/>
    </xf>
    <xf numFmtId="167" fontId="4" fillId="0" borderId="2" xfId="3" applyNumberFormat="1" applyFont="1" applyBorder="1" applyAlignment="1" applyProtection="1">
      <alignment vertical="center"/>
    </xf>
    <xf numFmtId="167" fontId="4" fillId="6" borderId="2" xfId="3" applyNumberFormat="1" applyFont="1" applyFill="1" applyBorder="1" applyAlignment="1" applyProtection="1">
      <alignment vertical="center"/>
    </xf>
    <xf numFmtId="14" fontId="4" fillId="2" borderId="3" xfId="3" applyNumberFormat="1" applyFont="1" applyFill="1" applyBorder="1" applyAlignment="1" applyProtection="1">
      <alignment vertical="center"/>
      <protection locked="0"/>
    </xf>
    <xf numFmtId="167" fontId="4" fillId="0" borderId="7" xfId="3" applyNumberFormat="1" applyFont="1" applyBorder="1" applyAlignment="1" applyProtection="1">
      <alignment vertical="center"/>
    </xf>
    <xf numFmtId="167" fontId="4" fillId="0" borderId="8" xfId="3" applyNumberFormat="1" applyFont="1" applyBorder="1" applyAlignment="1" applyProtection="1">
      <alignment vertical="center"/>
    </xf>
    <xf numFmtId="0" fontId="4" fillId="2" borderId="1" xfId="6" applyNumberFormat="1" applyFont="1" applyFill="1" applyBorder="1" applyAlignment="1" applyProtection="1">
      <alignment vertical="center"/>
      <protection locked="0"/>
    </xf>
    <xf numFmtId="167" fontId="2" fillId="2" borderId="1" xfId="3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0" xfId="3" applyFont="1" applyAlignment="1" applyProtection="1">
      <alignment vertical="center"/>
    </xf>
    <xf numFmtId="164" fontId="2" fillId="0" borderId="10" xfId="1" applyFont="1" applyBorder="1" applyAlignment="1" applyProtection="1">
      <alignment vertical="center"/>
    </xf>
    <xf numFmtId="164" fontId="4" fillId="0" borderId="17" xfId="1" applyFont="1" applyBorder="1" applyAlignment="1" applyProtection="1">
      <alignment vertical="center"/>
    </xf>
    <xf numFmtId="164" fontId="16" fillId="8" borderId="17" xfId="1" applyFont="1" applyFill="1" applyBorder="1" applyAlignment="1" applyProtection="1">
      <alignment vertical="center"/>
    </xf>
    <xf numFmtId="0" fontId="2" fillId="0" borderId="2" xfId="0" applyFont="1" applyFill="1" applyBorder="1" applyProtection="1"/>
    <xf numFmtId="164" fontId="2" fillId="6" borderId="9" xfId="1" applyFont="1" applyFill="1" applyBorder="1" applyAlignment="1" applyProtection="1">
      <alignment horizontal="center"/>
      <protection locked="0"/>
    </xf>
    <xf numFmtId="10" fontId="2" fillId="6" borderId="9" xfId="1" applyNumberFormat="1" applyFont="1" applyFill="1" applyBorder="1" applyAlignment="1" applyProtection="1">
      <alignment horizontal="center"/>
      <protection locked="0"/>
    </xf>
    <xf numFmtId="171" fontId="2" fillId="6" borderId="9" xfId="1" applyNumberFormat="1" applyFont="1" applyFill="1" applyBorder="1" applyAlignment="1" applyProtection="1">
      <alignment horizontal="center"/>
      <protection locked="0"/>
    </xf>
    <xf numFmtId="164" fontId="2" fillId="2" borderId="9" xfId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/>
    <xf numFmtId="164" fontId="2" fillId="6" borderId="4" xfId="1" applyFont="1" applyFill="1" applyBorder="1" applyAlignment="1" applyProtection="1">
      <alignment horizontal="center"/>
      <protection locked="0"/>
    </xf>
    <xf numFmtId="10" fontId="2" fillId="6" borderId="4" xfId="1" applyNumberFormat="1" applyFont="1" applyFill="1" applyBorder="1" applyAlignment="1" applyProtection="1">
      <alignment horizontal="center"/>
      <protection locked="0"/>
    </xf>
    <xf numFmtId="171" fontId="2" fillId="6" borderId="4" xfId="1" applyNumberFormat="1" applyFont="1" applyFill="1" applyBorder="1" applyAlignment="1" applyProtection="1">
      <alignment horizontal="center"/>
      <protection locked="0"/>
    </xf>
    <xf numFmtId="164" fontId="2" fillId="2" borderId="4" xfId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Protection="1"/>
    <xf numFmtId="167" fontId="9" fillId="0" borderId="57" xfId="2" applyNumberFormat="1" applyFont="1" applyFill="1" applyBorder="1" applyAlignment="1" applyProtection="1">
      <alignment horizontal="center" vertical="center" wrapText="1"/>
    </xf>
    <xf numFmtId="167" fontId="9" fillId="0" borderId="57" xfId="2" applyNumberFormat="1" applyFont="1" applyFill="1" applyBorder="1" applyAlignment="1" applyProtection="1">
      <alignment horizontal="center" vertical="center"/>
    </xf>
    <xf numFmtId="167" fontId="9" fillId="0" borderId="17" xfId="2" applyNumberFormat="1" applyFont="1" applyFill="1" applyBorder="1" applyAlignment="1" applyProtection="1">
      <alignment horizontal="center" vertical="center" wrapText="1"/>
    </xf>
    <xf numFmtId="167" fontId="4" fillId="2" borderId="64" xfId="2" applyNumberFormat="1" applyFont="1" applyFill="1" applyBorder="1" applyAlignment="1" applyProtection="1">
      <alignment vertical="center"/>
      <protection locked="0"/>
    </xf>
    <xf numFmtId="167" fontId="4" fillId="2" borderId="33" xfId="2" applyNumberFormat="1" applyFont="1" applyFill="1" applyBorder="1" applyAlignment="1" applyProtection="1">
      <alignment vertical="center"/>
      <protection locked="0"/>
    </xf>
    <xf numFmtId="1" fontId="5" fillId="2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1" xfId="3" applyNumberFormat="1" applyFont="1" applyFill="1" applyBorder="1" applyAlignment="1" applyProtection="1">
      <alignment horizontal="center" vertical="center"/>
      <protection locked="0"/>
    </xf>
    <xf numFmtId="1" fontId="5" fillId="0" borderId="9" xfId="1" applyNumberFormat="1" applyFont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64" fontId="0" fillId="6" borderId="2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10" fontId="14" fillId="6" borderId="1" xfId="4" applyNumberFormat="1" applyFont="1" applyFill="1" applyBorder="1" applyAlignment="1" applyProtection="1">
      <alignment horizontal="center"/>
      <protection locked="0"/>
    </xf>
    <xf numFmtId="9" fontId="0" fillId="6" borderId="9" xfId="4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</xf>
    <xf numFmtId="9" fontId="0" fillId="7" borderId="1" xfId="4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165" fontId="2" fillId="7" borderId="1" xfId="6" applyFont="1" applyFill="1" applyBorder="1" applyAlignment="1" applyProtection="1">
      <alignment horizontal="center"/>
      <protection locked="0"/>
    </xf>
    <xf numFmtId="169" fontId="2" fillId="7" borderId="1" xfId="4" applyNumberFormat="1" applyFont="1" applyFill="1" applyBorder="1" applyAlignment="1" applyProtection="1">
      <alignment horizontal="center"/>
      <protection locked="0"/>
    </xf>
    <xf numFmtId="164" fontId="0" fillId="6" borderId="3" xfId="1" applyFont="1" applyFill="1" applyBorder="1" applyProtection="1">
      <protection locked="0"/>
    </xf>
    <xf numFmtId="2" fontId="1" fillId="7" borderId="1" xfId="5" applyNumberFormat="1" applyFont="1" applyFill="1" applyBorder="1" applyAlignment="1" applyProtection="1">
      <alignment horizontal="center"/>
      <protection locked="0"/>
    </xf>
    <xf numFmtId="1" fontId="1" fillId="2" borderId="1" xfId="3" applyNumberFormat="1" applyFont="1" applyFill="1" applyBorder="1" applyAlignment="1" applyProtection="1">
      <alignment vertical="center"/>
      <protection locked="0"/>
    </xf>
    <xf numFmtId="1" fontId="2" fillId="2" borderId="1" xfId="3" applyNumberFormat="1" applyFont="1" applyFill="1" applyBorder="1" applyAlignment="1" applyProtection="1">
      <alignment vertical="center"/>
      <protection locked="0"/>
    </xf>
    <xf numFmtId="167" fontId="9" fillId="6" borderId="57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167" fontId="4" fillId="7" borderId="31" xfId="3" applyNumberFormat="1" applyFont="1" applyFill="1" applyBorder="1" applyAlignment="1" applyProtection="1">
      <alignment vertical="center"/>
    </xf>
    <xf numFmtId="167" fontId="4" fillId="7" borderId="42" xfId="3" applyNumberFormat="1" applyFont="1" applyFill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6" fillId="8" borderId="56" xfId="0" applyFont="1" applyFill="1" applyBorder="1" applyAlignment="1" applyProtection="1">
      <alignment vertical="center"/>
    </xf>
    <xf numFmtId="0" fontId="16" fillId="8" borderId="57" xfId="0" applyFont="1" applyFill="1" applyBorder="1" applyAlignment="1" applyProtection="1">
      <alignment vertical="center"/>
    </xf>
    <xf numFmtId="0" fontId="4" fillId="0" borderId="23" xfId="1" applyNumberFormat="1" applyFont="1" applyBorder="1" applyAlignment="1" applyProtection="1">
      <alignment vertical="center"/>
    </xf>
    <xf numFmtId="0" fontId="4" fillId="0" borderId="33" xfId="1" applyNumberFormat="1" applyFont="1" applyBorder="1" applyAlignment="1" applyProtection="1">
      <alignment vertical="center"/>
    </xf>
    <xf numFmtId="167" fontId="4" fillId="0" borderId="34" xfId="3" applyNumberFormat="1" applyFont="1" applyBorder="1" applyAlignment="1" applyProtection="1">
      <alignment vertical="center"/>
    </xf>
    <xf numFmtId="167" fontId="4" fillId="0" borderId="24" xfId="3" applyNumberFormat="1" applyFont="1" applyBorder="1" applyAlignment="1" applyProtection="1">
      <alignment vertical="center"/>
    </xf>
    <xf numFmtId="167" fontId="4" fillId="0" borderId="25" xfId="3" applyNumberFormat="1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4" fillId="0" borderId="56" xfId="0" applyFont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</xf>
    <xf numFmtId="167" fontId="4" fillId="7" borderId="1" xfId="3" applyNumberFormat="1" applyFont="1" applyFill="1" applyBorder="1" applyAlignment="1" applyProtection="1">
      <alignment vertical="center"/>
    </xf>
    <xf numFmtId="167" fontId="2" fillId="0" borderId="37" xfId="3" applyNumberFormat="1" applyFont="1" applyBorder="1" applyAlignment="1" applyProtection="1">
      <alignment vertical="center"/>
    </xf>
    <xf numFmtId="167" fontId="2" fillId="0" borderId="38" xfId="3" applyNumberFormat="1" applyFont="1" applyBorder="1" applyAlignment="1" applyProtection="1">
      <alignment vertical="center"/>
    </xf>
    <xf numFmtId="167" fontId="4" fillId="2" borderId="8" xfId="3" applyNumberFormat="1" applyFont="1" applyFill="1" applyBorder="1" applyAlignment="1" applyProtection="1">
      <alignment vertical="center"/>
      <protection locked="0"/>
    </xf>
    <xf numFmtId="167" fontId="4" fillId="2" borderId="9" xfId="3" applyNumberFormat="1" applyFont="1" applyFill="1" applyBorder="1" applyAlignment="1" applyProtection="1">
      <alignment vertical="center"/>
      <protection locked="0"/>
    </xf>
    <xf numFmtId="167" fontId="4" fillId="2" borderId="3" xfId="3" applyNumberFormat="1" applyFont="1" applyFill="1" applyBorder="1" applyAlignment="1" applyProtection="1">
      <alignment vertical="center"/>
      <protection locked="0"/>
    </xf>
    <xf numFmtId="167" fontId="4" fillId="0" borderId="0" xfId="3" applyNumberFormat="1" applyFont="1" applyBorder="1" applyAlignment="1" applyProtection="1">
      <alignment vertical="center"/>
    </xf>
    <xf numFmtId="167" fontId="5" fillId="0" borderId="18" xfId="3" applyNumberFormat="1" applyFont="1" applyBorder="1" applyAlignment="1" applyProtection="1">
      <alignment vertical="center"/>
    </xf>
    <xf numFmtId="167" fontId="5" fillId="0" borderId="19" xfId="3" applyNumberFormat="1" applyFont="1" applyBorder="1" applyAlignment="1" applyProtection="1">
      <alignment vertical="center"/>
    </xf>
    <xf numFmtId="167" fontId="5" fillId="0" borderId="6" xfId="3" applyNumberFormat="1" applyFont="1" applyBorder="1" applyAlignment="1" applyProtection="1">
      <alignment vertical="center"/>
    </xf>
    <xf numFmtId="167" fontId="4" fillId="0" borderId="29" xfId="3" applyNumberFormat="1" applyFont="1" applyBorder="1" applyAlignment="1" applyProtection="1">
      <alignment horizontal="center" vertical="center" wrapText="1"/>
    </xf>
    <xf numFmtId="167" fontId="4" fillId="0" borderId="42" xfId="3" applyNumberFormat="1" applyFont="1" applyBorder="1" applyAlignment="1" applyProtection="1">
      <alignment horizontal="center" vertical="center" wrapText="1"/>
    </xf>
    <xf numFmtId="0" fontId="4" fillId="2" borderId="47" xfId="3" applyNumberFormat="1" applyFont="1" applyFill="1" applyBorder="1" applyAlignment="1" applyProtection="1">
      <alignment vertical="center"/>
      <protection locked="0"/>
    </xf>
    <xf numFmtId="0" fontId="4" fillId="2" borderId="33" xfId="3" applyNumberFormat="1" applyFont="1" applyFill="1" applyBorder="1" applyAlignment="1" applyProtection="1">
      <alignment vertical="center"/>
      <protection locked="0"/>
    </xf>
    <xf numFmtId="167" fontId="2" fillId="0" borderId="48" xfId="3" applyNumberFormat="1" applyBorder="1" applyAlignment="1" applyProtection="1">
      <alignment vertical="center"/>
    </xf>
    <xf numFmtId="167" fontId="2" fillId="0" borderId="49" xfId="3" applyNumberFormat="1" applyFont="1" applyBorder="1" applyAlignment="1" applyProtection="1">
      <alignment vertical="center"/>
    </xf>
    <xf numFmtId="167" fontId="5" fillId="0" borderId="45" xfId="3" applyNumberFormat="1" applyFont="1" applyBorder="1" applyAlignment="1" applyProtection="1">
      <alignment vertical="center"/>
    </xf>
    <xf numFmtId="167" fontId="5" fillId="0" borderId="46" xfId="3" applyNumberFormat="1" applyFont="1" applyBorder="1" applyAlignment="1" applyProtection="1">
      <alignment vertical="center"/>
    </xf>
    <xf numFmtId="167" fontId="5" fillId="0" borderId="11" xfId="3" applyNumberFormat="1" applyFont="1" applyBorder="1" applyAlignment="1" applyProtection="1">
      <alignment vertical="center"/>
    </xf>
    <xf numFmtId="167" fontId="1" fillId="0" borderId="39" xfId="3" applyNumberFormat="1" applyFont="1" applyBorder="1" applyAlignment="1" applyProtection="1">
      <alignment vertical="center"/>
    </xf>
    <xf numFmtId="167" fontId="2" fillId="0" borderId="40" xfId="3" applyNumberFormat="1" applyFont="1" applyBorder="1" applyAlignment="1" applyProtection="1">
      <alignment vertical="center"/>
    </xf>
    <xf numFmtId="167" fontId="2" fillId="0" borderId="64" xfId="3" applyNumberFormat="1" applyFont="1" applyBorder="1" applyAlignment="1" applyProtection="1">
      <alignment vertical="center"/>
    </xf>
    <xf numFmtId="0" fontId="2" fillId="0" borderId="34" xfId="3" applyBorder="1" applyAlignment="1" applyProtection="1">
      <alignment vertical="center"/>
    </xf>
    <xf numFmtId="0" fontId="2" fillId="0" borderId="24" xfId="3" applyBorder="1" applyAlignment="1" applyProtection="1">
      <alignment vertical="center"/>
    </xf>
    <xf numFmtId="0" fontId="2" fillId="0" borderId="33" xfId="3" applyBorder="1" applyAlignment="1" applyProtection="1">
      <alignment vertical="center"/>
    </xf>
    <xf numFmtId="167" fontId="4" fillId="0" borderId="43" xfId="3" applyNumberFormat="1" applyFont="1" applyBorder="1" applyAlignment="1" applyProtection="1">
      <alignment vertical="center"/>
    </xf>
    <xf numFmtId="167" fontId="7" fillId="4" borderId="18" xfId="3" applyNumberFormat="1" applyFont="1" applyFill="1" applyBorder="1" applyAlignment="1" applyProtection="1">
      <alignment vertical="center"/>
    </xf>
    <xf numFmtId="167" fontId="7" fillId="4" borderId="19" xfId="3" applyNumberFormat="1" applyFont="1" applyFill="1" applyBorder="1" applyAlignment="1" applyProtection="1">
      <alignment vertical="center"/>
    </xf>
    <xf numFmtId="167" fontId="7" fillId="4" borderId="6" xfId="3" applyNumberFormat="1" applyFont="1" applyFill="1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35" xfId="3" applyNumberFormat="1" applyFont="1" applyFill="1" applyBorder="1" applyAlignment="1" applyProtection="1">
      <alignment vertical="center"/>
      <protection locked="0"/>
    </xf>
    <xf numFmtId="0" fontId="4" fillId="2" borderId="36" xfId="3" applyNumberFormat="1" applyFont="1" applyFill="1" applyBorder="1" applyAlignment="1" applyProtection="1">
      <alignment vertical="center"/>
      <protection locked="0"/>
    </xf>
    <xf numFmtId="167" fontId="4" fillId="2" borderId="35" xfId="3" applyNumberFormat="1" applyFont="1" applyFill="1" applyBorder="1" applyAlignment="1" applyProtection="1">
      <alignment vertical="center"/>
      <protection locked="0"/>
    </xf>
    <xf numFmtId="167" fontId="4" fillId="2" borderId="36" xfId="3" applyNumberFormat="1" applyFont="1" applyFill="1" applyBorder="1" applyAlignment="1" applyProtection="1">
      <alignment vertical="center"/>
      <protection locked="0"/>
    </xf>
    <xf numFmtId="167" fontId="3" fillId="5" borderId="45" xfId="3" applyNumberFormat="1" applyFont="1" applyFill="1" applyBorder="1" applyAlignment="1" applyProtection="1">
      <alignment horizontal="center" vertical="center"/>
    </xf>
    <xf numFmtId="167" fontId="3" fillId="5" borderId="46" xfId="3" applyNumberFormat="1" applyFont="1" applyFill="1" applyBorder="1" applyAlignment="1" applyProtection="1">
      <alignment horizontal="center" vertical="center"/>
    </xf>
    <xf numFmtId="167" fontId="3" fillId="5" borderId="11" xfId="3" applyNumberFormat="1" applyFont="1" applyFill="1" applyBorder="1" applyAlignment="1" applyProtection="1">
      <alignment horizontal="center" vertical="center"/>
    </xf>
    <xf numFmtId="167" fontId="3" fillId="5" borderId="44" xfId="3" applyNumberFormat="1" applyFont="1" applyFill="1" applyBorder="1" applyAlignment="1" applyProtection="1">
      <alignment horizontal="center" vertical="center"/>
      <protection locked="0"/>
    </xf>
    <xf numFmtId="167" fontId="3" fillId="5" borderId="0" xfId="3" applyNumberFormat="1" applyFont="1" applyFill="1" applyBorder="1" applyAlignment="1" applyProtection="1">
      <alignment horizontal="center" vertical="center"/>
      <protection locked="0"/>
    </xf>
    <xf numFmtId="167" fontId="3" fillId="5" borderId="12" xfId="3" applyNumberFormat="1" applyFont="1" applyFill="1" applyBorder="1" applyAlignment="1" applyProtection="1">
      <alignment horizontal="center" vertical="center"/>
      <protection locked="0"/>
    </xf>
    <xf numFmtId="167" fontId="3" fillId="5" borderId="50" xfId="3" applyNumberFormat="1" applyFont="1" applyFill="1" applyBorder="1" applyAlignment="1" applyProtection="1">
      <alignment horizontal="center" vertical="center"/>
      <protection locked="0"/>
    </xf>
    <xf numFmtId="167" fontId="3" fillId="5" borderId="26" xfId="3" applyNumberFormat="1" applyFont="1" applyFill="1" applyBorder="1" applyAlignment="1" applyProtection="1">
      <alignment horizontal="center" vertical="center"/>
      <protection locked="0"/>
    </xf>
    <xf numFmtId="167" fontId="3" fillId="5" borderId="51" xfId="3" applyNumberFormat="1" applyFont="1" applyFill="1" applyBorder="1" applyAlignment="1" applyProtection="1">
      <alignment horizontal="center" vertical="center"/>
      <protection locked="0"/>
    </xf>
    <xf numFmtId="167" fontId="4" fillId="2" borderId="7" xfId="3" applyNumberFormat="1" applyFont="1" applyFill="1" applyBorder="1" applyAlignment="1" applyProtection="1">
      <alignment vertical="center"/>
      <protection locked="0"/>
    </xf>
    <xf numFmtId="167" fontId="4" fillId="2" borderId="1" xfId="3" applyNumberFormat="1" applyFont="1" applyFill="1" applyBorder="1" applyAlignment="1" applyProtection="1">
      <alignment vertical="center"/>
      <protection locked="0"/>
    </xf>
    <xf numFmtId="167" fontId="4" fillId="2" borderId="2" xfId="3" applyNumberFormat="1" applyFont="1" applyFill="1" applyBorder="1" applyAlignment="1" applyProtection="1">
      <alignment vertical="center"/>
      <protection locked="0"/>
    </xf>
    <xf numFmtId="167" fontId="2" fillId="0" borderId="18" xfId="3" applyNumberFormat="1" applyBorder="1" applyAlignment="1" applyProtection="1">
      <alignment vertical="center"/>
    </xf>
    <xf numFmtId="167" fontId="2" fillId="0" borderId="19" xfId="3" applyNumberFormat="1" applyBorder="1" applyAlignment="1" applyProtection="1">
      <alignment vertical="center"/>
    </xf>
    <xf numFmtId="167" fontId="2" fillId="0" borderId="7" xfId="3" applyNumberFormat="1" applyBorder="1" applyAlignment="1" applyProtection="1">
      <alignment vertical="center"/>
    </xf>
    <xf numFmtId="167" fontId="2" fillId="0" borderId="1" xfId="3" applyNumberFormat="1" applyBorder="1" applyAlignment="1" applyProtection="1">
      <alignment vertical="center"/>
    </xf>
    <xf numFmtId="0" fontId="17" fillId="6" borderId="45" xfId="3" applyFont="1" applyFill="1" applyBorder="1" applyAlignment="1" applyProtection="1">
      <alignment horizontal="center" vertical="center"/>
    </xf>
    <xf numFmtId="0" fontId="17" fillId="6" borderId="46" xfId="3" applyFont="1" applyFill="1" applyBorder="1" applyAlignment="1" applyProtection="1">
      <alignment horizontal="center" vertical="center"/>
    </xf>
    <xf numFmtId="0" fontId="17" fillId="6" borderId="11" xfId="3" applyFont="1" applyFill="1" applyBorder="1" applyAlignment="1" applyProtection="1">
      <alignment horizontal="center" vertical="center"/>
    </xf>
    <xf numFmtId="0" fontId="17" fillId="6" borderId="44" xfId="3" applyFont="1" applyFill="1" applyBorder="1" applyAlignment="1" applyProtection="1">
      <alignment horizontal="center" vertical="center"/>
    </xf>
    <xf numFmtId="0" fontId="17" fillId="6" borderId="0" xfId="3" applyFont="1" applyFill="1" applyBorder="1" applyAlignment="1" applyProtection="1">
      <alignment horizontal="center" vertical="center"/>
    </xf>
    <xf numFmtId="0" fontId="17" fillId="6" borderId="12" xfId="3" applyFont="1" applyFill="1" applyBorder="1" applyAlignment="1" applyProtection="1">
      <alignment horizontal="center" vertical="center"/>
    </xf>
    <xf numFmtId="0" fontId="17" fillId="6" borderId="50" xfId="3" applyFont="1" applyFill="1" applyBorder="1" applyAlignment="1" applyProtection="1">
      <alignment horizontal="center" vertical="center"/>
    </xf>
    <xf numFmtId="0" fontId="17" fillId="6" borderId="26" xfId="3" applyFont="1" applyFill="1" applyBorder="1" applyAlignment="1" applyProtection="1">
      <alignment horizontal="center" vertical="center"/>
    </xf>
    <xf numFmtId="0" fontId="17" fillId="6" borderId="51" xfId="3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167" fontId="2" fillId="0" borderId="7" xfId="3" applyNumberFormat="1" applyFont="1" applyBorder="1" applyAlignment="1" applyProtection="1">
      <alignment vertical="center"/>
    </xf>
    <xf numFmtId="167" fontId="2" fillId="0" borderId="1" xfId="3" applyNumberFormat="1" applyFont="1" applyBorder="1" applyAlignment="1" applyProtection="1">
      <alignment vertical="center"/>
    </xf>
    <xf numFmtId="167" fontId="2" fillId="0" borderId="8" xfId="3" applyNumberFormat="1" applyBorder="1" applyAlignment="1" applyProtection="1">
      <alignment vertical="center"/>
    </xf>
    <xf numFmtId="167" fontId="2" fillId="0" borderId="9" xfId="3" applyNumberFormat="1" applyBorder="1" applyAlignment="1" applyProtection="1">
      <alignment vertical="center"/>
    </xf>
    <xf numFmtId="167" fontId="4" fillId="0" borderId="0" xfId="3" applyNumberFormat="1" applyFont="1" applyAlignment="1" applyProtection="1">
      <alignment vertical="center"/>
    </xf>
    <xf numFmtId="49" fontId="4" fillId="2" borderId="35" xfId="3" applyNumberFormat="1" applyFont="1" applyFill="1" applyBorder="1" applyAlignment="1" applyProtection="1">
      <alignment vertical="center"/>
      <protection locked="0"/>
    </xf>
    <xf numFmtId="49" fontId="4" fillId="2" borderId="36" xfId="3" applyNumberFormat="1" applyFont="1" applyFill="1" applyBorder="1" applyAlignment="1" applyProtection="1">
      <alignment vertical="center"/>
      <protection locked="0"/>
    </xf>
    <xf numFmtId="167" fontId="4" fillId="7" borderId="1" xfId="3" applyNumberFormat="1" applyFont="1" applyFill="1" applyBorder="1" applyAlignment="1" applyProtection="1">
      <alignment horizontal="left"/>
      <protection locked="0"/>
    </xf>
    <xf numFmtId="167" fontId="4" fillId="0" borderId="7" xfId="3" applyNumberFormat="1" applyFont="1" applyFill="1" applyBorder="1" applyAlignment="1" applyProtection="1">
      <alignment horizontal="center"/>
    </xf>
    <xf numFmtId="167" fontId="4" fillId="0" borderId="1" xfId="3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167" fontId="4" fillId="0" borderId="1" xfId="3" applyNumberFormat="1" applyFont="1" applyFill="1" applyBorder="1" applyAlignment="1" applyProtection="1">
      <alignment horizontal="left"/>
      <protection locked="0"/>
    </xf>
    <xf numFmtId="164" fontId="4" fillId="0" borderId="31" xfId="1" applyFont="1" applyFill="1" applyBorder="1" applyAlignment="1" applyProtection="1">
      <alignment horizontal="center"/>
    </xf>
    <xf numFmtId="164" fontId="4" fillId="0" borderId="30" xfId="1" applyFont="1" applyFill="1" applyBorder="1" applyAlignment="1" applyProtection="1">
      <alignment horizontal="center"/>
    </xf>
    <xf numFmtId="164" fontId="4" fillId="0" borderId="36" xfId="1" applyFont="1" applyFill="1" applyBorder="1" applyAlignment="1" applyProtection="1">
      <alignment horizontal="center"/>
    </xf>
    <xf numFmtId="167" fontId="4" fillId="0" borderId="1" xfId="3" applyNumberFormat="1" applyFont="1" applyBorder="1" applyAlignment="1" applyProtection="1">
      <alignment horizontal="center"/>
    </xf>
    <xf numFmtId="167" fontId="3" fillId="5" borderId="45" xfId="3" applyNumberFormat="1" applyFont="1" applyFill="1" applyBorder="1" applyAlignment="1" applyProtection="1">
      <alignment horizontal="center"/>
    </xf>
    <xf numFmtId="167" fontId="3" fillId="5" borderId="46" xfId="3" applyNumberFormat="1" applyFont="1" applyFill="1" applyBorder="1" applyAlignment="1" applyProtection="1">
      <alignment horizontal="center"/>
    </xf>
    <xf numFmtId="167" fontId="3" fillId="5" borderId="44" xfId="3" applyNumberFormat="1" applyFont="1" applyFill="1" applyBorder="1" applyAlignment="1" applyProtection="1">
      <alignment horizontal="center"/>
    </xf>
    <xf numFmtId="167" fontId="3" fillId="5" borderId="0" xfId="3" applyNumberFormat="1" applyFont="1" applyFill="1" applyBorder="1" applyAlignment="1" applyProtection="1">
      <alignment horizontal="center"/>
    </xf>
    <xf numFmtId="167" fontId="3" fillId="5" borderId="50" xfId="3" applyNumberFormat="1" applyFont="1" applyFill="1" applyBorder="1" applyAlignment="1" applyProtection="1">
      <alignment horizontal="center"/>
    </xf>
    <xf numFmtId="167" fontId="3" fillId="5" borderId="26" xfId="3" applyNumberFormat="1" applyFont="1" applyFill="1" applyBorder="1" applyAlignment="1" applyProtection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5" fillId="0" borderId="52" xfId="3" applyNumberFormat="1" applyFont="1" applyBorder="1" applyAlignment="1" applyProtection="1">
      <alignment horizontal="center"/>
    </xf>
    <xf numFmtId="167" fontId="5" fillId="0" borderId="53" xfId="3" applyNumberFormat="1" applyFont="1" applyBorder="1" applyAlignment="1" applyProtection="1">
      <alignment horizontal="center"/>
    </xf>
    <xf numFmtId="167" fontId="5" fillId="0" borderId="54" xfId="3" applyNumberFormat="1" applyFont="1" applyBorder="1" applyAlignment="1" applyProtection="1">
      <alignment horizontal="center"/>
    </xf>
    <xf numFmtId="167" fontId="4" fillId="0" borderId="7" xfId="3" applyNumberFormat="1" applyFont="1" applyFill="1" applyBorder="1" applyAlignment="1" applyProtection="1">
      <alignment horizontal="left"/>
    </xf>
    <xf numFmtId="167" fontId="4" fillId="0" borderId="1" xfId="3" applyNumberFormat="1" applyFont="1" applyFill="1" applyBorder="1" applyAlignment="1" applyProtection="1">
      <alignment horizontal="left"/>
    </xf>
    <xf numFmtId="167" fontId="4" fillId="0" borderId="8" xfId="3" applyNumberFormat="1" applyFont="1" applyFill="1" applyBorder="1" applyAlignment="1" applyProtection="1">
      <alignment horizontal="left"/>
    </xf>
    <xf numFmtId="167" fontId="4" fillId="0" borderId="9" xfId="3" applyNumberFormat="1" applyFont="1" applyFill="1" applyBorder="1" applyAlignment="1" applyProtection="1">
      <alignment horizontal="left"/>
    </xf>
    <xf numFmtId="167" fontId="4" fillId="0" borderId="56" xfId="3" applyNumberFormat="1" applyFont="1" applyFill="1" applyBorder="1" applyAlignment="1" applyProtection="1">
      <alignment horizontal="center" vertical="center"/>
    </xf>
    <xf numFmtId="167" fontId="4" fillId="0" borderId="57" xfId="3" applyNumberFormat="1" applyFont="1" applyFill="1" applyBorder="1" applyAlignment="1" applyProtection="1">
      <alignment horizontal="center" vertical="center"/>
    </xf>
    <xf numFmtId="167" fontId="4" fillId="0" borderId="55" xfId="3" applyNumberFormat="1" applyFont="1" applyFill="1" applyBorder="1" applyAlignment="1" applyProtection="1">
      <alignment horizontal="left"/>
    </xf>
    <xf numFmtId="167" fontId="4" fillId="0" borderId="4" xfId="3" applyNumberFormat="1" applyFont="1" applyFill="1" applyBorder="1" applyAlignment="1" applyProtection="1">
      <alignment horizontal="left"/>
    </xf>
    <xf numFmtId="167" fontId="5" fillId="0" borderId="44" xfId="3" applyNumberFormat="1" applyFont="1" applyBorder="1" applyAlignment="1" applyProtection="1">
      <alignment horizontal="center"/>
    </xf>
    <xf numFmtId="167" fontId="5" fillId="0" borderId="0" xfId="3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6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167" fontId="2" fillId="0" borderId="50" xfId="3" applyNumberFormat="1" applyBorder="1" applyAlignment="1" applyProtection="1">
      <alignment horizontal="left"/>
    </xf>
    <xf numFmtId="167" fontId="2" fillId="0" borderId="26" xfId="3" applyNumberFormat="1" applyBorder="1" applyAlignment="1" applyProtection="1">
      <alignment horizontal="left"/>
    </xf>
    <xf numFmtId="167" fontId="4" fillId="0" borderId="0" xfId="3" applyNumberFormat="1" applyFont="1" applyAlignment="1" applyProtection="1">
      <alignment horizontal="center"/>
    </xf>
    <xf numFmtId="167" fontId="2" fillId="0" borderId="37" xfId="3" applyNumberFormat="1" applyFont="1" applyBorder="1" applyAlignment="1" applyProtection="1">
      <alignment horizontal="left"/>
    </xf>
    <xf numFmtId="167" fontId="2" fillId="0" borderId="38" xfId="3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167" fontId="7" fillId="4" borderId="18" xfId="3" applyNumberFormat="1" applyFont="1" applyFill="1" applyBorder="1" applyAlignment="1" applyProtection="1">
      <alignment horizontal="center"/>
    </xf>
    <xf numFmtId="167" fontId="7" fillId="4" borderId="19" xfId="3" applyNumberFormat="1" applyFont="1" applyFill="1" applyBorder="1" applyAlignment="1" applyProtection="1">
      <alignment horizontal="center"/>
    </xf>
    <xf numFmtId="167" fontId="7" fillId="4" borderId="6" xfId="3" applyNumberFormat="1" applyFont="1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</xf>
    <xf numFmtId="167" fontId="7" fillId="4" borderId="39" xfId="3" applyNumberFormat="1" applyFont="1" applyFill="1" applyBorder="1" applyAlignment="1" applyProtection="1">
      <alignment horizontal="center"/>
    </xf>
    <xf numFmtId="167" fontId="7" fillId="4" borderId="40" xfId="3" applyNumberFormat="1" applyFont="1" applyFill="1" applyBorder="1" applyAlignment="1" applyProtection="1">
      <alignment horizontal="center"/>
    </xf>
    <xf numFmtId="167" fontId="7" fillId="4" borderId="64" xfId="3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left"/>
    </xf>
    <xf numFmtId="0" fontId="0" fillId="7" borderId="1" xfId="0" applyFill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167" fontId="2" fillId="0" borderId="45" xfId="3" applyNumberFormat="1" applyBorder="1" applyAlignment="1" applyProtection="1">
      <alignment horizontal="left"/>
    </xf>
    <xf numFmtId="0" fontId="2" fillId="0" borderId="46" xfId="3" applyBorder="1" applyAlignment="1" applyProtection="1">
      <alignment horizontal="left"/>
    </xf>
    <xf numFmtId="167" fontId="5" fillId="0" borderId="61" xfId="3" applyNumberFormat="1" applyFont="1" applyBorder="1" applyAlignment="1" applyProtection="1">
      <alignment horizontal="center"/>
    </xf>
    <xf numFmtId="167" fontId="5" fillId="0" borderId="62" xfId="3" applyNumberFormat="1" applyFont="1" applyBorder="1" applyAlignment="1" applyProtection="1">
      <alignment horizontal="center"/>
    </xf>
    <xf numFmtId="167" fontId="5" fillId="0" borderId="63" xfId="3" applyNumberFormat="1" applyFont="1" applyBorder="1" applyAlignment="1" applyProtection="1">
      <alignment horizontal="center"/>
    </xf>
    <xf numFmtId="167" fontId="2" fillId="0" borderId="48" xfId="3" applyNumberFormat="1" applyFont="1" applyBorder="1" applyAlignment="1" applyProtection="1">
      <alignment horizontal="left"/>
    </xf>
    <xf numFmtId="167" fontId="2" fillId="0" borderId="49" xfId="3" applyNumberFormat="1" applyFont="1" applyBorder="1" applyAlignment="1" applyProtection="1">
      <alignment horizontal="left"/>
    </xf>
    <xf numFmtId="167" fontId="2" fillId="0" borderId="44" xfId="3" applyNumberFormat="1" applyBorder="1" applyAlignment="1" applyProtection="1">
      <alignment horizontal="left"/>
    </xf>
    <xf numFmtId="0" fontId="2" fillId="0" borderId="0" xfId="3" applyBorder="1" applyAlignment="1" applyProtection="1">
      <alignment horizontal="left"/>
    </xf>
    <xf numFmtId="167" fontId="3" fillId="0" borderId="45" xfId="3" applyNumberFormat="1" applyFont="1" applyFill="1" applyBorder="1" applyAlignment="1" applyProtection="1">
      <alignment horizontal="center"/>
    </xf>
    <xf numFmtId="167" fontId="3" fillId="0" borderId="46" xfId="3" applyNumberFormat="1" applyFont="1" applyFill="1" applyBorder="1" applyAlignment="1" applyProtection="1">
      <alignment horizontal="center"/>
    </xf>
    <xf numFmtId="167" fontId="3" fillId="0" borderId="11" xfId="3" applyNumberFormat="1" applyFont="1" applyFill="1" applyBorder="1" applyAlignment="1" applyProtection="1">
      <alignment horizontal="center"/>
    </xf>
    <xf numFmtId="167" fontId="3" fillId="0" borderId="44" xfId="3" applyNumberFormat="1" applyFont="1" applyFill="1" applyBorder="1" applyAlignment="1" applyProtection="1">
      <alignment horizontal="center"/>
    </xf>
    <xf numFmtId="167" fontId="3" fillId="0" borderId="0" xfId="3" applyNumberFormat="1" applyFont="1" applyFill="1" applyBorder="1" applyAlignment="1" applyProtection="1">
      <alignment horizontal="center"/>
    </xf>
    <xf numFmtId="167" fontId="3" fillId="0" borderId="12" xfId="3" applyNumberFormat="1" applyFont="1" applyFill="1" applyBorder="1" applyAlignment="1" applyProtection="1">
      <alignment horizontal="center"/>
    </xf>
    <xf numFmtId="167" fontId="3" fillId="0" borderId="50" xfId="3" applyNumberFormat="1" applyFont="1" applyFill="1" applyBorder="1" applyAlignment="1" applyProtection="1">
      <alignment horizontal="center"/>
    </xf>
    <xf numFmtId="167" fontId="3" fillId="0" borderId="26" xfId="3" applyNumberFormat="1" applyFont="1" applyFill="1" applyBorder="1" applyAlignment="1" applyProtection="1">
      <alignment horizontal="center"/>
    </xf>
    <xf numFmtId="167" fontId="3" fillId="0" borderId="51" xfId="3" applyNumberFormat="1" applyFont="1" applyFill="1" applyBorder="1" applyAlignment="1" applyProtection="1">
      <alignment horizontal="center"/>
    </xf>
    <xf numFmtId="167" fontId="2" fillId="0" borderId="44" xfId="3" applyNumberFormat="1" applyFont="1" applyBorder="1" applyAlignment="1" applyProtection="1">
      <alignment horizontal="left"/>
    </xf>
    <xf numFmtId="167" fontId="2" fillId="0" borderId="0" xfId="3" applyNumberFormat="1" applyFont="1" applyBorder="1" applyAlignment="1" applyProtection="1">
      <alignment horizontal="left"/>
    </xf>
    <xf numFmtId="167" fontId="5" fillId="0" borderId="58" xfId="3" applyNumberFormat="1" applyFont="1" applyBorder="1" applyAlignment="1" applyProtection="1">
      <alignment horizontal="center"/>
    </xf>
    <xf numFmtId="167" fontId="5" fillId="0" borderId="59" xfId="3" applyNumberFormat="1" applyFont="1" applyBorder="1" applyAlignment="1" applyProtection="1">
      <alignment horizontal="center"/>
    </xf>
    <xf numFmtId="167" fontId="5" fillId="0" borderId="60" xfId="3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42" xfId="0" applyFont="1" applyBorder="1" applyAlignment="1" applyProtection="1">
      <alignment horizontal="center"/>
    </xf>
    <xf numFmtId="0" fontId="9" fillId="0" borderId="65" xfId="0" applyFont="1" applyBorder="1" applyAlignment="1" applyProtection="1">
      <alignment horizontal="center"/>
    </xf>
    <xf numFmtId="0" fontId="9" fillId="0" borderId="66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left"/>
    </xf>
    <xf numFmtId="0" fontId="4" fillId="0" borderId="57" xfId="0" applyFont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left"/>
      <protection locked="0"/>
    </xf>
    <xf numFmtId="0" fontId="2" fillId="7" borderId="31" xfId="0" applyFont="1" applyFill="1" applyBorder="1" applyAlignment="1" applyProtection="1">
      <alignment horizontal="left"/>
    </xf>
    <xf numFmtId="0" fontId="2" fillId="7" borderId="42" xfId="0" applyFont="1" applyFill="1" applyBorder="1" applyAlignment="1" applyProtection="1">
      <alignment horizontal="left"/>
    </xf>
    <xf numFmtId="0" fontId="4" fillId="0" borderId="65" xfId="0" applyFont="1" applyBorder="1" applyAlignment="1" applyProtection="1">
      <alignment horizontal="left"/>
    </xf>
    <xf numFmtId="0" fontId="4" fillId="0" borderId="66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left"/>
    </xf>
    <xf numFmtId="0" fontId="4" fillId="0" borderId="30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left"/>
    </xf>
    <xf numFmtId="167" fontId="7" fillId="4" borderId="45" xfId="3" applyNumberFormat="1" applyFont="1" applyFill="1" applyBorder="1" applyAlignment="1" applyProtection="1">
      <alignment horizontal="center"/>
    </xf>
    <xf numFmtId="167" fontId="7" fillId="4" borderId="46" xfId="3" applyNumberFormat="1" applyFont="1" applyFill="1" applyBorder="1" applyAlignment="1" applyProtection="1">
      <alignment horizontal="center"/>
    </xf>
    <xf numFmtId="167" fontId="7" fillId="4" borderId="11" xfId="3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left"/>
      <protection locked="0"/>
    </xf>
    <xf numFmtId="0" fontId="1" fillId="6" borderId="9" xfId="0" applyFont="1" applyFill="1" applyBorder="1" applyAlignment="1" applyProtection="1">
      <alignment horizontal="left"/>
      <protection locked="0"/>
    </xf>
    <xf numFmtId="167" fontId="3" fillId="5" borderId="11" xfId="3" applyNumberFormat="1" applyFont="1" applyFill="1" applyBorder="1" applyAlignment="1" applyProtection="1">
      <alignment horizontal="center"/>
    </xf>
    <xf numFmtId="167" fontId="3" fillId="5" borderId="12" xfId="3" applyNumberFormat="1" applyFont="1" applyFill="1" applyBorder="1" applyAlignment="1" applyProtection="1">
      <alignment horizontal="center"/>
    </xf>
    <xf numFmtId="167" fontId="3" fillId="5" borderId="51" xfId="3" applyNumberFormat="1" applyFont="1" applyFill="1" applyBorder="1" applyAlignment="1" applyProtection="1">
      <alignment horizontal="center"/>
    </xf>
    <xf numFmtId="167" fontId="4" fillId="0" borderId="43" xfId="3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0" fontId="4" fillId="0" borderId="5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167" fontId="2" fillId="0" borderId="18" xfId="3" applyNumberFormat="1" applyBorder="1" applyAlignment="1" applyProtection="1">
      <alignment horizontal="left"/>
    </xf>
    <xf numFmtId="0" fontId="2" fillId="0" borderId="19" xfId="3" applyBorder="1" applyAlignment="1" applyProtection="1">
      <alignment horizontal="left"/>
    </xf>
    <xf numFmtId="167" fontId="4" fillId="0" borderId="19" xfId="3" applyNumberFormat="1" applyFont="1" applyBorder="1" applyAlignment="1" applyProtection="1">
      <alignment horizontal="center"/>
    </xf>
    <xf numFmtId="167" fontId="4" fillId="0" borderId="6" xfId="3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167" fontId="2" fillId="0" borderId="7" xfId="3" applyNumberFormat="1" applyBorder="1" applyAlignment="1" applyProtection="1">
      <alignment horizontal="left"/>
    </xf>
    <xf numFmtId="0" fontId="2" fillId="0" borderId="1" xfId="3" applyBorder="1" applyAlignment="1" applyProtection="1">
      <alignment horizontal="left"/>
    </xf>
    <xf numFmtId="167" fontId="4" fillId="0" borderId="2" xfId="3" applyNumberFormat="1" applyFont="1" applyBorder="1" applyAlignment="1" applyProtection="1">
      <alignment horizontal="center"/>
    </xf>
    <xf numFmtId="167" fontId="2" fillId="0" borderId="1" xfId="3" applyNumberFormat="1" applyFont="1" applyBorder="1" applyAlignment="1" applyProtection="1">
      <alignment horizontal="left"/>
    </xf>
    <xf numFmtId="14" fontId="4" fillId="0" borderId="1" xfId="3" applyNumberFormat="1" applyFont="1" applyBorder="1" applyAlignment="1" applyProtection="1">
      <alignment horizontal="center"/>
    </xf>
    <xf numFmtId="14" fontId="4" fillId="0" borderId="2" xfId="3" applyNumberFormat="1" applyFont="1" applyBorder="1" applyAlignment="1" applyProtection="1">
      <alignment horizontal="center"/>
    </xf>
    <xf numFmtId="167" fontId="2" fillId="0" borderId="8" xfId="3" applyNumberFormat="1" applyFont="1" applyBorder="1" applyAlignment="1" applyProtection="1">
      <alignment horizontal="left"/>
    </xf>
    <xf numFmtId="167" fontId="2" fillId="0" borderId="9" xfId="3" applyNumberFormat="1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 wrapText="1"/>
    </xf>
    <xf numFmtId="0" fontId="2" fillId="0" borderId="42" xfId="0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4" fillId="0" borderId="1" xfId="3" applyNumberFormat="1" applyFont="1" applyBorder="1" applyAlignment="1" applyProtection="1">
      <alignment horizontal="center"/>
    </xf>
    <xf numFmtId="0" fontId="4" fillId="0" borderId="2" xfId="3" applyNumberFormat="1" applyFont="1" applyBorder="1" applyAlignment="1" applyProtection="1">
      <alignment horizontal="center"/>
    </xf>
    <xf numFmtId="0" fontId="4" fillId="0" borderId="9" xfId="3" applyNumberFormat="1" applyFont="1" applyBorder="1" applyAlignment="1" applyProtection="1">
      <alignment horizontal="center"/>
    </xf>
    <xf numFmtId="0" fontId="4" fillId="0" borderId="3" xfId="3" applyNumberFormat="1" applyFont="1" applyBorder="1" applyAlignment="1" applyProtection="1">
      <alignment horizontal="center"/>
    </xf>
    <xf numFmtId="167" fontId="4" fillId="0" borderId="26" xfId="3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7" fontId="4" fillId="0" borderId="9" xfId="3" applyNumberFormat="1" applyFont="1" applyBorder="1" applyAlignment="1" applyProtection="1">
      <alignment horizontal="center"/>
    </xf>
    <xf numFmtId="167" fontId="4" fillId="0" borderId="3" xfId="3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167" fontId="7" fillId="4" borderId="41" xfId="3" applyNumberFormat="1" applyFont="1" applyFill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left" vertical="center" wrapText="1"/>
    </xf>
    <xf numFmtId="0" fontId="4" fillId="0" borderId="46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0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5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/>
    </xf>
    <xf numFmtId="0" fontId="1" fillId="0" borderId="31" xfId="0" applyFont="1" applyBorder="1" applyAlignment="1" applyProtection="1">
      <alignment horizontal="left"/>
    </xf>
    <xf numFmtId="9" fontId="2" fillId="0" borderId="1" xfId="5" applyNumberFormat="1" applyFont="1" applyFill="1" applyBorder="1" applyAlignment="1" applyProtection="1">
      <alignment horizontal="center"/>
      <protection locked="0"/>
    </xf>
    <xf numFmtId="9" fontId="2" fillId="0" borderId="1" xfId="5" applyNumberFormat="1" applyFont="1" applyFill="1" applyBorder="1" applyAlignment="1" applyProtection="1">
      <alignment horizontal="center"/>
    </xf>
    <xf numFmtId="0" fontId="20" fillId="9" borderId="0" xfId="0" applyFont="1" applyFill="1" applyAlignment="1" applyProtection="1">
      <alignment horizontal="left" vertical="center" wrapText="1"/>
    </xf>
    <xf numFmtId="0" fontId="20" fillId="9" borderId="26" xfId="0" applyFont="1" applyFill="1" applyBorder="1" applyAlignment="1" applyProtection="1">
      <alignment horizontal="left" vertical="center" wrapText="1"/>
    </xf>
    <xf numFmtId="167" fontId="4" fillId="0" borderId="27" xfId="3" applyNumberFormat="1" applyFont="1" applyFill="1" applyBorder="1" applyAlignment="1" applyProtection="1">
      <alignment horizontal="left" wrapText="1"/>
    </xf>
    <xf numFmtId="167" fontId="4" fillId="0" borderId="0" xfId="3" applyNumberFormat="1" applyFont="1" applyFill="1" applyBorder="1" applyAlignment="1" applyProtection="1">
      <alignment horizontal="left" wrapText="1"/>
    </xf>
  </cellXfs>
  <cellStyles count="7">
    <cellStyle name="Moeda" xfId="1" builtinId="4"/>
    <cellStyle name="Moeda_Plan1" xfId="2"/>
    <cellStyle name="Normal" xfId="0" builtinId="0"/>
    <cellStyle name="Normal_Plan1" xfId="3"/>
    <cellStyle name="Porcentagem" xfId="4" builtinId="5"/>
    <cellStyle name="Porcentagem_Plan1" xfId="5"/>
    <cellStyle name="Vírgula" xfId="6" builtinId="3"/>
  </cellStyles>
  <dxfs count="0"/>
  <tableStyles count="0" defaultTableStyle="TableStyleMedium9" defaultPivotStyle="PivotStyleLight16"/>
  <colors>
    <mruColors>
      <color rgb="FF66FF3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66FF33"/>
    <pageSetUpPr fitToPage="1"/>
  </sheetPr>
  <dimension ref="A1:K49"/>
  <sheetViews>
    <sheetView showGridLines="0" workbookViewId="0">
      <selection activeCell="K10" sqref="K10"/>
    </sheetView>
  </sheetViews>
  <sheetFormatPr defaultRowHeight="12.75" x14ac:dyDescent="0.2"/>
  <cols>
    <col min="1" max="1" width="3.42578125" style="111" customWidth="1"/>
    <col min="2" max="2" width="59" style="111" customWidth="1"/>
    <col min="3" max="3" width="13.140625" style="111" bestFit="1" customWidth="1"/>
    <col min="4" max="4" width="20.5703125" style="111" customWidth="1"/>
    <col min="5" max="6" width="13.7109375" style="111" customWidth="1"/>
    <col min="7" max="7" width="11" style="111" bestFit="1" customWidth="1"/>
    <col min="8" max="8" width="33.7109375" style="111" bestFit="1" customWidth="1"/>
    <col min="9" max="16384" width="9.140625" style="111"/>
  </cols>
  <sheetData>
    <row r="1" spans="1:8" s="174" customFormat="1" x14ac:dyDescent="0.2">
      <c r="A1" s="442" t="s">
        <v>205</v>
      </c>
      <c r="B1" s="442"/>
      <c r="C1" s="442"/>
      <c r="D1" s="442"/>
      <c r="E1" s="442"/>
      <c r="F1" s="442"/>
      <c r="G1" s="442"/>
      <c r="H1" s="442"/>
    </row>
    <row r="2" spans="1:8" s="174" customFormat="1" x14ac:dyDescent="0.2">
      <c r="A2" s="442"/>
      <c r="B2" s="442"/>
      <c r="C2" s="442"/>
      <c r="D2" s="442"/>
      <c r="E2" s="442"/>
      <c r="F2" s="442"/>
      <c r="G2" s="442"/>
      <c r="H2" s="442"/>
    </row>
    <row r="3" spans="1:8" s="174" customFormat="1" x14ac:dyDescent="0.2">
      <c r="A3" s="442"/>
      <c r="B3" s="442"/>
      <c r="C3" s="442"/>
      <c r="D3" s="442"/>
      <c r="E3" s="442"/>
      <c r="F3" s="442"/>
      <c r="G3" s="442"/>
      <c r="H3" s="442"/>
    </row>
    <row r="4" spans="1:8" s="174" customFormat="1" ht="13.5" thickBot="1" x14ac:dyDescent="0.25">
      <c r="A4" s="443"/>
      <c r="B4" s="443"/>
      <c r="C4" s="443"/>
      <c r="D4" s="443"/>
      <c r="E4" s="443"/>
      <c r="F4" s="443"/>
      <c r="G4" s="443"/>
      <c r="H4" s="443"/>
    </row>
    <row r="5" spans="1:8" ht="20.25" x14ac:dyDescent="0.2">
      <c r="A5" s="237" t="s">
        <v>80</v>
      </c>
      <c r="B5" s="238"/>
      <c r="C5" s="238"/>
      <c r="D5" s="238"/>
      <c r="E5" s="238"/>
      <c r="F5" s="238"/>
      <c r="G5" s="238"/>
      <c r="H5" s="239"/>
    </row>
    <row r="6" spans="1:8" ht="20.25" x14ac:dyDescent="0.2">
      <c r="A6" s="240" t="s">
        <v>106</v>
      </c>
      <c r="B6" s="241"/>
      <c r="C6" s="241"/>
      <c r="D6" s="241"/>
      <c r="E6" s="241"/>
      <c r="F6" s="241"/>
      <c r="G6" s="241"/>
      <c r="H6" s="242"/>
    </row>
    <row r="7" spans="1:8" ht="21" thickBot="1" x14ac:dyDescent="0.25">
      <c r="A7" s="243" t="s">
        <v>107</v>
      </c>
      <c r="B7" s="244"/>
      <c r="C7" s="244"/>
      <c r="D7" s="244"/>
      <c r="E7" s="244"/>
      <c r="F7" s="244"/>
      <c r="G7" s="244"/>
      <c r="H7" s="245"/>
    </row>
    <row r="8" spans="1:8" ht="13.5" thickBot="1" x14ac:dyDescent="0.25">
      <c r="A8" s="207"/>
      <c r="B8" s="207"/>
      <c r="C8" s="207"/>
      <c r="D8" s="207"/>
      <c r="E8" s="207"/>
      <c r="F8" s="207"/>
      <c r="G8" s="207"/>
      <c r="H8" s="207"/>
    </row>
    <row r="9" spans="1:8" ht="20.100000000000001" customHeight="1" x14ac:dyDescent="0.2">
      <c r="A9" s="249" t="s">
        <v>1</v>
      </c>
      <c r="B9" s="250"/>
      <c r="C9" s="250"/>
      <c r="D9" s="131" t="s">
        <v>186</v>
      </c>
      <c r="E9" s="253" t="s">
        <v>104</v>
      </c>
      <c r="F9" s="254"/>
      <c r="G9" s="255"/>
    </row>
    <row r="10" spans="1:8" ht="20.100000000000001" customHeight="1" x14ac:dyDescent="0.2">
      <c r="A10" s="251" t="s">
        <v>19</v>
      </c>
      <c r="B10" s="252"/>
      <c r="C10" s="252"/>
      <c r="D10" s="132" t="s">
        <v>185</v>
      </c>
      <c r="E10" s="256"/>
      <c r="F10" s="257"/>
      <c r="G10" s="258"/>
    </row>
    <row r="11" spans="1:8" ht="20.100000000000001" customHeight="1" x14ac:dyDescent="0.2">
      <c r="A11" s="265" t="s">
        <v>81</v>
      </c>
      <c r="B11" s="266"/>
      <c r="C11" s="266"/>
      <c r="D11" s="133" t="s">
        <v>108</v>
      </c>
      <c r="E11" s="256"/>
      <c r="F11" s="257"/>
      <c r="G11" s="258"/>
    </row>
    <row r="12" spans="1:8" ht="20.100000000000001" customHeight="1" thickBot="1" x14ac:dyDescent="0.25">
      <c r="A12" s="267" t="s">
        <v>82</v>
      </c>
      <c r="B12" s="268"/>
      <c r="C12" s="268"/>
      <c r="D12" s="134" t="s">
        <v>109</v>
      </c>
      <c r="E12" s="259"/>
      <c r="F12" s="260"/>
      <c r="G12" s="261"/>
    </row>
    <row r="13" spans="1:8" ht="13.5" thickBot="1" x14ac:dyDescent="0.25">
      <c r="A13" s="269"/>
      <c r="B13" s="269"/>
      <c r="C13" s="269"/>
      <c r="D13" s="269"/>
      <c r="E13" s="269"/>
      <c r="F13" s="269"/>
      <c r="G13" s="269"/>
      <c r="H13" s="269"/>
    </row>
    <row r="14" spans="1:8" ht="15.75" x14ac:dyDescent="0.2">
      <c r="A14" s="217" t="s">
        <v>20</v>
      </c>
      <c r="B14" s="218"/>
      <c r="C14" s="218"/>
      <c r="D14" s="218"/>
      <c r="E14" s="219"/>
      <c r="F14" s="208" t="s">
        <v>100</v>
      </c>
      <c r="G14" s="209"/>
      <c r="H14" s="210"/>
    </row>
    <row r="15" spans="1:8" x14ac:dyDescent="0.2">
      <c r="A15" s="135" t="s">
        <v>2</v>
      </c>
      <c r="B15" s="202" t="s">
        <v>83</v>
      </c>
      <c r="C15" s="203"/>
      <c r="D15" s="270" t="s">
        <v>111</v>
      </c>
      <c r="E15" s="271"/>
      <c r="F15" s="246" t="s">
        <v>110</v>
      </c>
      <c r="G15" s="247"/>
      <c r="H15" s="248"/>
    </row>
    <row r="16" spans="1:8" x14ac:dyDescent="0.2">
      <c r="A16" s="135" t="s">
        <v>3</v>
      </c>
      <c r="B16" s="202" t="s">
        <v>50</v>
      </c>
      <c r="C16" s="203"/>
      <c r="D16" s="235" t="s">
        <v>99</v>
      </c>
      <c r="E16" s="236"/>
      <c r="F16" s="262" t="s">
        <v>112</v>
      </c>
      <c r="G16" s="263"/>
      <c r="H16" s="264"/>
    </row>
    <row r="17" spans="1:11" x14ac:dyDescent="0.2">
      <c r="A17" s="135" t="s">
        <v>4</v>
      </c>
      <c r="B17" s="202" t="s">
        <v>5</v>
      </c>
      <c r="C17" s="203"/>
      <c r="D17" s="233" t="s">
        <v>105</v>
      </c>
      <c r="E17" s="234"/>
      <c r="F17" s="246" t="s">
        <v>113</v>
      </c>
      <c r="G17" s="247"/>
      <c r="H17" s="248"/>
    </row>
    <row r="18" spans="1:11" ht="13.5" thickBot="1" x14ac:dyDescent="0.25">
      <c r="A18" s="136" t="s">
        <v>6</v>
      </c>
      <c r="B18" s="215" t="s">
        <v>84</v>
      </c>
      <c r="C18" s="216"/>
      <c r="D18" s="213">
        <v>12</v>
      </c>
      <c r="E18" s="214"/>
      <c r="F18" s="204" t="s">
        <v>114</v>
      </c>
      <c r="G18" s="205"/>
      <c r="H18" s="206"/>
    </row>
    <row r="19" spans="1:11" ht="13.5" thickBot="1" x14ac:dyDescent="0.25">
      <c r="A19" s="207"/>
      <c r="B19" s="207"/>
      <c r="C19" s="207"/>
      <c r="D19" s="207"/>
      <c r="E19" s="207"/>
      <c r="F19" s="207"/>
      <c r="G19" s="207"/>
      <c r="H19" s="207"/>
    </row>
    <row r="20" spans="1:11" ht="15.75" x14ac:dyDescent="0.2">
      <c r="A20" s="208" t="s">
        <v>21</v>
      </c>
      <c r="B20" s="209"/>
      <c r="C20" s="209"/>
      <c r="D20" s="209"/>
      <c r="E20" s="209"/>
      <c r="F20" s="209"/>
      <c r="G20" s="209"/>
      <c r="H20" s="210"/>
    </row>
    <row r="21" spans="1:11" s="128" customFormat="1" ht="25.5" customHeight="1" x14ac:dyDescent="0.2">
      <c r="A21" s="211" t="s">
        <v>67</v>
      </c>
      <c r="B21" s="212"/>
      <c r="C21" s="124" t="s">
        <v>85</v>
      </c>
      <c r="D21" s="124" t="s">
        <v>23</v>
      </c>
      <c r="E21" s="124" t="s">
        <v>86</v>
      </c>
      <c r="F21" s="125" t="s">
        <v>201</v>
      </c>
      <c r="G21" s="126" t="s">
        <v>199</v>
      </c>
      <c r="H21" s="127" t="s">
        <v>31</v>
      </c>
      <c r="K21" s="129"/>
    </row>
    <row r="22" spans="1:11" ht="15.75" x14ac:dyDescent="0.2">
      <c r="A22" s="201" t="s">
        <v>172</v>
      </c>
      <c r="B22" s="201"/>
      <c r="C22" s="137">
        <v>351505</v>
      </c>
      <c r="D22" s="138" t="s">
        <v>87</v>
      </c>
      <c r="E22" s="163">
        <v>17</v>
      </c>
      <c r="F22" s="163">
        <v>17</v>
      </c>
      <c r="G22" s="179">
        <v>220</v>
      </c>
      <c r="H22" s="166">
        <v>1000</v>
      </c>
    </row>
    <row r="23" spans="1:11" ht="15.75" x14ac:dyDescent="0.2">
      <c r="A23" s="201" t="s">
        <v>173</v>
      </c>
      <c r="B23" s="201"/>
      <c r="C23" s="137">
        <v>415105</v>
      </c>
      <c r="D23" s="138" t="s">
        <v>87</v>
      </c>
      <c r="E23" s="163">
        <v>19</v>
      </c>
      <c r="F23" s="163">
        <v>19</v>
      </c>
      <c r="G23" s="179">
        <v>220</v>
      </c>
      <c r="H23" s="166">
        <v>1000</v>
      </c>
    </row>
    <row r="24" spans="1:11" ht="15.75" x14ac:dyDescent="0.2">
      <c r="A24" s="201" t="s">
        <v>174</v>
      </c>
      <c r="B24" s="201"/>
      <c r="C24" s="137">
        <v>415105</v>
      </c>
      <c r="D24" s="138" t="s">
        <v>87</v>
      </c>
      <c r="E24" s="163">
        <v>1</v>
      </c>
      <c r="F24" s="163">
        <v>2</v>
      </c>
      <c r="G24" s="179">
        <v>220</v>
      </c>
      <c r="H24" s="166">
        <v>1000</v>
      </c>
    </row>
    <row r="25" spans="1:11" ht="15.75" x14ac:dyDescent="0.2">
      <c r="A25" s="201" t="s">
        <v>175</v>
      </c>
      <c r="B25" s="201"/>
      <c r="C25" s="137">
        <v>415105</v>
      </c>
      <c r="D25" s="138" t="s">
        <v>87</v>
      </c>
      <c r="E25" s="163">
        <v>1</v>
      </c>
      <c r="F25" s="163">
        <v>2</v>
      </c>
      <c r="G25" s="180">
        <v>220</v>
      </c>
      <c r="H25" s="166">
        <v>1000</v>
      </c>
    </row>
    <row r="26" spans="1:11" ht="15.75" x14ac:dyDescent="0.2">
      <c r="A26" s="201" t="s">
        <v>187</v>
      </c>
      <c r="B26" s="201"/>
      <c r="C26" s="137">
        <v>783210</v>
      </c>
      <c r="D26" s="138" t="s">
        <v>87</v>
      </c>
      <c r="E26" s="163">
        <v>6</v>
      </c>
      <c r="F26" s="163">
        <v>6</v>
      </c>
      <c r="G26" s="180">
        <v>220</v>
      </c>
      <c r="H26" s="166">
        <v>1000</v>
      </c>
    </row>
    <row r="27" spans="1:11" ht="15.75" x14ac:dyDescent="0.2">
      <c r="A27" s="183" t="s">
        <v>176</v>
      </c>
      <c r="B27" s="184"/>
      <c r="C27" s="137">
        <v>410105</v>
      </c>
      <c r="D27" s="138" t="s">
        <v>87</v>
      </c>
      <c r="E27" s="164">
        <v>1</v>
      </c>
      <c r="F27" s="164">
        <v>1</v>
      </c>
      <c r="G27" s="180">
        <v>220</v>
      </c>
      <c r="H27" s="166">
        <v>1000</v>
      </c>
    </row>
    <row r="28" spans="1:11" ht="16.5" thickBot="1" x14ac:dyDescent="0.25">
      <c r="A28" s="193" t="s">
        <v>88</v>
      </c>
      <c r="B28" s="194"/>
      <c r="C28" s="194"/>
      <c r="D28" s="195"/>
      <c r="E28" s="165">
        <f>SUM(E22:E27)</f>
        <v>45</v>
      </c>
      <c r="F28" s="165">
        <f>SUM(F22:F27)</f>
        <v>47</v>
      </c>
      <c r="G28" s="191"/>
      <c r="H28" s="192"/>
    </row>
    <row r="29" spans="1:11" ht="13.5" thickBot="1" x14ac:dyDescent="0.25">
      <c r="A29" s="226"/>
      <c r="B29" s="226"/>
      <c r="C29" s="226"/>
      <c r="D29" s="226"/>
      <c r="E29" s="226"/>
      <c r="F29" s="226"/>
      <c r="G29" s="226"/>
      <c r="H29" s="226"/>
    </row>
    <row r="30" spans="1:11" ht="15.75" x14ac:dyDescent="0.2">
      <c r="A30" s="227" t="s">
        <v>89</v>
      </c>
      <c r="B30" s="228"/>
      <c r="C30" s="228"/>
      <c r="D30" s="228"/>
      <c r="E30" s="228"/>
      <c r="F30" s="228"/>
      <c r="G30" s="228"/>
      <c r="H30" s="229"/>
    </row>
    <row r="31" spans="1:11" x14ac:dyDescent="0.2">
      <c r="A31" s="196" t="s">
        <v>165</v>
      </c>
      <c r="B31" s="197"/>
      <c r="C31" s="197"/>
      <c r="D31" s="197"/>
      <c r="E31" s="197"/>
      <c r="F31" s="197"/>
      <c r="G31" s="197"/>
      <c r="H31" s="139" t="s">
        <v>90</v>
      </c>
    </row>
    <row r="32" spans="1:11" x14ac:dyDescent="0.2">
      <c r="A32" s="140" t="s">
        <v>2</v>
      </c>
      <c r="B32" s="198" t="s">
        <v>27</v>
      </c>
      <c r="C32" s="186"/>
      <c r="D32" s="186"/>
      <c r="E32" s="186"/>
      <c r="F32" s="186"/>
      <c r="G32" s="186"/>
      <c r="H32" s="130">
        <f>'Técnico(a) em Secretariado 44h'!D122+
'Auxiliar de Arquivo 44h'!D122+
'Auxiliar de Arquivo 12x36 Diurn'!D122+
'Auxiliar de Arquivo 12x36 Notur'!D122+
'Carregador 44h'!D122+
'Encarregado 44h'!D122</f>
        <v>47782.307799586779</v>
      </c>
    </row>
    <row r="33" spans="1:8" x14ac:dyDescent="0.2">
      <c r="A33" s="140" t="s">
        <v>3</v>
      </c>
      <c r="B33" s="185" t="s">
        <v>168</v>
      </c>
      <c r="C33" s="186"/>
      <c r="D33" s="186"/>
      <c r="E33" s="186"/>
      <c r="F33" s="186"/>
      <c r="G33" s="186"/>
      <c r="H33" s="130">
        <f>'Técnico(a) em Secretariado 44h'!D123+
'Auxiliar de Arquivo 44h'!D123+
'Auxiliar de Arquivo 12x36 Diurn'!D123+
'Auxiliar de Arquivo 12x36 Notur'!D123+
'Carregador 44h'!D123+
'Encarregado 44h'!D123</f>
        <v>31098.800055785126</v>
      </c>
    </row>
    <row r="34" spans="1:8" x14ac:dyDescent="0.2">
      <c r="A34" s="140" t="s">
        <v>4</v>
      </c>
      <c r="B34" s="185" t="s">
        <v>167</v>
      </c>
      <c r="C34" s="186"/>
      <c r="D34" s="186"/>
      <c r="E34" s="186"/>
      <c r="F34" s="186"/>
      <c r="G34" s="186"/>
      <c r="H34" s="130">
        <f>'Técnico(a) em Secretariado 44h'!D124+
'Auxiliar de Arquivo 44h'!D124+
'Auxiliar de Arquivo 12x36 Diurn'!D124+
'Auxiliar de Arquivo 12x36 Notur'!D124+
'Carregador 44h'!D124+
'Encarregado 44h'!D124</f>
        <v>3285.6176672058073</v>
      </c>
    </row>
    <row r="35" spans="1:8" x14ac:dyDescent="0.2">
      <c r="A35" s="141" t="s">
        <v>6</v>
      </c>
      <c r="B35" s="185" t="s">
        <v>166</v>
      </c>
      <c r="C35" s="186"/>
      <c r="D35" s="186"/>
      <c r="E35" s="186"/>
      <c r="F35" s="186"/>
      <c r="G35" s="186"/>
      <c r="H35" s="130">
        <f>'Técnico(a) em Secretariado 44h'!D125+
'Auxiliar de Arquivo 44h'!D125+
'Auxiliar de Arquivo 12x36 Diurn'!D125+
'Auxiliar de Arquivo 12x36 Notur'!D125+
'Carregador 44h'!D125+
'Encarregado 44h'!D125</f>
        <v>9264.8830856655168</v>
      </c>
    </row>
    <row r="36" spans="1:8" x14ac:dyDescent="0.2">
      <c r="A36" s="142" t="s">
        <v>7</v>
      </c>
      <c r="B36" s="187" t="s">
        <v>160</v>
      </c>
      <c r="C36" s="188"/>
      <c r="D36" s="188"/>
      <c r="E36" s="188"/>
      <c r="F36" s="188"/>
      <c r="G36" s="188"/>
      <c r="H36" s="130">
        <f>'Técnico(a) em Secretariado 44h'!D126+
'Auxiliar de Arquivo 44h'!D126+
'Auxiliar de Arquivo 12x36 Diurn'!D126+
'Auxiliar de Arquivo 12x36 Notur'!D126+
'Carregador 44h'!D126+
'Encarregado 44h'!D126</f>
        <v>3.097001431454699E-2</v>
      </c>
    </row>
    <row r="37" spans="1:8" ht="13.5" thickBot="1" x14ac:dyDescent="0.25">
      <c r="A37" s="142" t="s">
        <v>8</v>
      </c>
      <c r="B37" s="187" t="s">
        <v>126</v>
      </c>
      <c r="C37" s="188"/>
      <c r="D37" s="188"/>
      <c r="E37" s="188"/>
      <c r="F37" s="188"/>
      <c r="G37" s="188"/>
      <c r="H37" s="144">
        <f>'Técnico(a) em Secretariado 44h'!D128+
'Auxiliar de Arquivo 44h'!D128+
'Auxiliar de Arquivo 12x36 Diurn'!D128+
'Auxiliar de Arquivo 12x36 Notur'!D128+
'Carregador 44h'!D128+
'Encarregado 44h'!D128</f>
        <v>25256.560000000001</v>
      </c>
    </row>
    <row r="38" spans="1:8" ht="13.5" thickBot="1" x14ac:dyDescent="0.25">
      <c r="A38" s="199" t="s">
        <v>170</v>
      </c>
      <c r="B38" s="200"/>
      <c r="C38" s="200"/>
      <c r="D38" s="200"/>
      <c r="E38" s="200"/>
      <c r="F38" s="200"/>
      <c r="G38" s="200"/>
      <c r="H38" s="145">
        <f>SUM(H32:H37)</f>
        <v>116688.19957825752</v>
      </c>
    </row>
    <row r="39" spans="1:8" x14ac:dyDescent="0.2">
      <c r="A39" s="196" t="s">
        <v>169</v>
      </c>
      <c r="B39" s="197"/>
      <c r="C39" s="197"/>
      <c r="D39" s="197"/>
      <c r="E39" s="197"/>
      <c r="F39" s="197"/>
      <c r="G39" s="197"/>
      <c r="H39" s="139" t="s">
        <v>90</v>
      </c>
    </row>
    <row r="40" spans="1:8" x14ac:dyDescent="0.2">
      <c r="A40" s="140" t="s">
        <v>2</v>
      </c>
      <c r="B40" s="198" t="s">
        <v>27</v>
      </c>
      <c r="C40" s="186"/>
      <c r="D40" s="186"/>
      <c r="E40" s="186"/>
      <c r="F40" s="186"/>
      <c r="G40" s="186"/>
      <c r="H40" s="130">
        <f>H32*12</f>
        <v>573387.69359504129</v>
      </c>
    </row>
    <row r="41" spans="1:8" x14ac:dyDescent="0.2">
      <c r="A41" s="140" t="s">
        <v>3</v>
      </c>
      <c r="B41" s="185" t="s">
        <v>168</v>
      </c>
      <c r="C41" s="186"/>
      <c r="D41" s="186"/>
      <c r="E41" s="186"/>
      <c r="F41" s="186"/>
      <c r="G41" s="186"/>
      <c r="H41" s="130">
        <f t="shared" ref="H41:H45" si="0">H33*12</f>
        <v>373185.60066942149</v>
      </c>
    </row>
    <row r="42" spans="1:8" x14ac:dyDescent="0.2">
      <c r="A42" s="140" t="s">
        <v>4</v>
      </c>
      <c r="B42" s="185" t="s">
        <v>167</v>
      </c>
      <c r="C42" s="186"/>
      <c r="D42" s="186"/>
      <c r="E42" s="186"/>
      <c r="F42" s="186"/>
      <c r="G42" s="186"/>
      <c r="H42" s="130">
        <f t="shared" si="0"/>
        <v>39427.412006469691</v>
      </c>
    </row>
    <row r="43" spans="1:8" x14ac:dyDescent="0.2">
      <c r="A43" s="141" t="s">
        <v>6</v>
      </c>
      <c r="B43" s="185" t="s">
        <v>166</v>
      </c>
      <c r="C43" s="186"/>
      <c r="D43" s="186"/>
      <c r="E43" s="186"/>
      <c r="F43" s="186"/>
      <c r="G43" s="186"/>
      <c r="H43" s="130">
        <f t="shared" si="0"/>
        <v>111178.59702798619</v>
      </c>
    </row>
    <row r="44" spans="1:8" x14ac:dyDescent="0.2">
      <c r="A44" s="142" t="s">
        <v>7</v>
      </c>
      <c r="B44" s="187" t="s">
        <v>160</v>
      </c>
      <c r="C44" s="188"/>
      <c r="D44" s="188"/>
      <c r="E44" s="188"/>
      <c r="F44" s="188"/>
      <c r="G44" s="188"/>
      <c r="H44" s="130">
        <f t="shared" si="0"/>
        <v>0.37164017177456388</v>
      </c>
    </row>
    <row r="45" spans="1:8" ht="13.5" thickBot="1" x14ac:dyDescent="0.25">
      <c r="A45" s="142" t="s">
        <v>8</v>
      </c>
      <c r="B45" s="187" t="s">
        <v>126</v>
      </c>
      <c r="C45" s="188"/>
      <c r="D45" s="188"/>
      <c r="E45" s="188"/>
      <c r="F45" s="188"/>
      <c r="G45" s="188"/>
      <c r="H45" s="144">
        <f t="shared" si="0"/>
        <v>303078.72000000003</v>
      </c>
    </row>
    <row r="46" spans="1:8" ht="21" thickBot="1" x14ac:dyDescent="0.25">
      <c r="A46" s="189" t="s">
        <v>170</v>
      </c>
      <c r="B46" s="190"/>
      <c r="C46" s="190"/>
      <c r="D46" s="190"/>
      <c r="E46" s="190"/>
      <c r="F46" s="190"/>
      <c r="G46" s="190"/>
      <c r="H46" s="146">
        <f>SUM(H40:H45)</f>
        <v>1400258.3949390904</v>
      </c>
    </row>
    <row r="47" spans="1:8" ht="13.5" thickBot="1" x14ac:dyDescent="0.25">
      <c r="A47" s="207"/>
      <c r="B47" s="207"/>
      <c r="C47" s="207"/>
      <c r="D47" s="207"/>
      <c r="E47" s="207"/>
      <c r="F47" s="207"/>
      <c r="G47" s="207"/>
      <c r="H47" s="207"/>
    </row>
    <row r="48" spans="1:8" ht="18" customHeight="1" x14ac:dyDescent="0.2">
      <c r="A48" s="143"/>
      <c r="B48" s="220" t="s">
        <v>195</v>
      </c>
      <c r="C48" s="221"/>
      <c r="D48" s="221"/>
      <c r="E48" s="222"/>
      <c r="F48" s="161">
        <v>1045</v>
      </c>
      <c r="G48" s="230"/>
      <c r="H48" s="231"/>
    </row>
    <row r="49" spans="1:8" ht="18" customHeight="1" thickBot="1" x14ac:dyDescent="0.25">
      <c r="A49" s="143"/>
      <c r="B49" s="223" t="s">
        <v>152</v>
      </c>
      <c r="C49" s="224"/>
      <c r="D49" s="224"/>
      <c r="E49" s="225"/>
      <c r="F49" s="162">
        <v>4.5</v>
      </c>
      <c r="G49" s="230"/>
      <c r="H49" s="232"/>
    </row>
  </sheetData>
  <mergeCells count="58">
    <mergeCell ref="A1:H4"/>
    <mergeCell ref="A5:H5"/>
    <mergeCell ref="A6:H6"/>
    <mergeCell ref="A7:H7"/>
    <mergeCell ref="A8:H8"/>
    <mergeCell ref="B17:C17"/>
    <mergeCell ref="F17:H17"/>
    <mergeCell ref="A9:C9"/>
    <mergeCell ref="A10:C10"/>
    <mergeCell ref="E9:G12"/>
    <mergeCell ref="F16:H16"/>
    <mergeCell ref="A11:C11"/>
    <mergeCell ref="A12:C12"/>
    <mergeCell ref="A13:H13"/>
    <mergeCell ref="B15:C15"/>
    <mergeCell ref="F15:H15"/>
    <mergeCell ref="D15:E15"/>
    <mergeCell ref="F14:H14"/>
    <mergeCell ref="A14:E14"/>
    <mergeCell ref="B48:E48"/>
    <mergeCell ref="B49:E49"/>
    <mergeCell ref="A29:H29"/>
    <mergeCell ref="A30:H30"/>
    <mergeCell ref="A31:G31"/>
    <mergeCell ref="B32:G32"/>
    <mergeCell ref="B35:G35"/>
    <mergeCell ref="B33:G33"/>
    <mergeCell ref="A47:H47"/>
    <mergeCell ref="G48:H49"/>
    <mergeCell ref="D17:E17"/>
    <mergeCell ref="D16:E16"/>
    <mergeCell ref="A23:B23"/>
    <mergeCell ref="B34:G34"/>
    <mergeCell ref="A24:B24"/>
    <mergeCell ref="B16:C16"/>
    <mergeCell ref="A25:B25"/>
    <mergeCell ref="F18:H18"/>
    <mergeCell ref="A26:B26"/>
    <mergeCell ref="A19:H19"/>
    <mergeCell ref="A20:H20"/>
    <mergeCell ref="A21:B21"/>
    <mergeCell ref="A22:B22"/>
    <mergeCell ref="D18:E18"/>
    <mergeCell ref="B18:C18"/>
    <mergeCell ref="A27:B27"/>
    <mergeCell ref="B43:G43"/>
    <mergeCell ref="B44:G44"/>
    <mergeCell ref="B45:G45"/>
    <mergeCell ref="A46:G46"/>
    <mergeCell ref="B36:G36"/>
    <mergeCell ref="G28:H28"/>
    <mergeCell ref="A28:D28"/>
    <mergeCell ref="B37:G37"/>
    <mergeCell ref="A39:G39"/>
    <mergeCell ref="B40:G40"/>
    <mergeCell ref="B41:G41"/>
    <mergeCell ref="B42:G42"/>
    <mergeCell ref="A38:G38"/>
  </mergeCells>
  <phoneticPr fontId="8" type="noConversion"/>
  <pageMargins left="1.1811023622047245" right="0.39370078740157483" top="0.78740157480314965" bottom="0.98425196850393704" header="0.51181102362204722" footer="0.51181102362204722"/>
  <pageSetup paperSize="9" scale="67" orientation="portrait" r:id="rId1"/>
  <headerFooter alignWithMargins="0">
    <oddHeader>&amp;L&amp;F&amp;R&amp;D</oddHeader>
    <oddFooter>&amp;L&amp;A&amp;R&amp;P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indexed="46"/>
    <pageSetUpPr fitToPage="1"/>
  </sheetPr>
  <dimension ref="A1:H37"/>
  <sheetViews>
    <sheetView showGridLines="0" tabSelected="1" topLeftCell="A16" workbookViewId="0">
      <selection activeCell="H35" sqref="H35"/>
    </sheetView>
  </sheetViews>
  <sheetFormatPr defaultRowHeight="12.75" x14ac:dyDescent="0.2"/>
  <cols>
    <col min="1" max="1" width="3.7109375" style="16" customWidth="1"/>
    <col min="2" max="6" width="12.7109375" style="16" customWidth="1"/>
    <col min="7" max="7" width="13.5703125" style="16" customWidth="1"/>
    <col min="8" max="8" width="13.28515625" style="16" bestFit="1" customWidth="1"/>
    <col min="9" max="9" width="9.140625" style="16"/>
    <col min="10" max="10" width="9.5703125" style="16" bestFit="1" customWidth="1"/>
    <col min="11" max="16384" width="9.140625" style="16"/>
  </cols>
  <sheetData>
    <row r="1" spans="1:8" ht="20.25" x14ac:dyDescent="0.3">
      <c r="A1" s="286" t="s">
        <v>0</v>
      </c>
      <c r="B1" s="287"/>
      <c r="C1" s="287"/>
      <c r="D1" s="287"/>
      <c r="E1" s="287"/>
      <c r="F1" s="287"/>
      <c r="G1" s="287"/>
      <c r="H1" s="380"/>
    </row>
    <row r="2" spans="1:8" ht="20.25" x14ac:dyDescent="0.3">
      <c r="A2" s="288" t="str">
        <f>TOTAIS!A6</f>
        <v>FORNECEDOR</v>
      </c>
      <c r="B2" s="289"/>
      <c r="C2" s="289"/>
      <c r="D2" s="289"/>
      <c r="E2" s="289"/>
      <c r="F2" s="289"/>
      <c r="G2" s="289"/>
      <c r="H2" s="381"/>
    </row>
    <row r="3" spans="1:8" ht="21" thickBot="1" x14ac:dyDescent="0.35">
      <c r="A3" s="290" t="s">
        <v>36</v>
      </c>
      <c r="B3" s="291"/>
      <c r="C3" s="291"/>
      <c r="D3" s="291"/>
      <c r="E3" s="291"/>
      <c r="F3" s="291"/>
      <c r="G3" s="291"/>
      <c r="H3" s="382"/>
    </row>
    <row r="4" spans="1:8" ht="13.5" thickBot="1" x14ac:dyDescent="0.25">
      <c r="A4" s="383"/>
      <c r="B4" s="383"/>
      <c r="C4" s="383"/>
      <c r="D4" s="383"/>
      <c r="E4" s="383"/>
      <c r="F4" s="383"/>
    </row>
    <row r="5" spans="1:8" ht="16.5" thickBot="1" x14ac:dyDescent="0.3">
      <c r="A5" s="320" t="s">
        <v>66</v>
      </c>
      <c r="B5" s="321"/>
      <c r="C5" s="321"/>
      <c r="D5" s="321"/>
      <c r="E5" s="321"/>
      <c r="F5" s="322"/>
    </row>
    <row r="6" spans="1:8" x14ac:dyDescent="0.2">
      <c r="A6" s="387" t="s">
        <v>1</v>
      </c>
      <c r="B6" s="388"/>
      <c r="C6" s="388"/>
      <c r="D6" s="388"/>
      <c r="E6" s="389" t="str">
        <f>TOTAIS!D9</f>
        <v>23759.020964/2019-25</v>
      </c>
      <c r="F6" s="390"/>
    </row>
    <row r="7" spans="1:8" x14ac:dyDescent="0.2">
      <c r="A7" s="396" t="s">
        <v>19</v>
      </c>
      <c r="B7" s="397"/>
      <c r="C7" s="397"/>
      <c r="D7" s="397"/>
      <c r="E7" s="285" t="str">
        <f>TOTAIS!D10</f>
        <v>Pregão nº ___/20XX</v>
      </c>
      <c r="F7" s="398"/>
    </row>
    <row r="8" spans="1:8" ht="13.5" thickBot="1" x14ac:dyDescent="0.25">
      <c r="A8" s="402" t="s">
        <v>61</v>
      </c>
      <c r="B8" s="403"/>
      <c r="C8" s="403"/>
      <c r="D8" s="403"/>
      <c r="E8" s="421" t="str">
        <f>TOTAIS!E9</f>
        <v>Lucro Real</v>
      </c>
      <c r="F8" s="422"/>
    </row>
    <row r="9" spans="1:8" ht="13.5" thickBot="1" x14ac:dyDescent="0.25">
      <c r="A9" s="311"/>
      <c r="B9" s="311"/>
      <c r="C9" s="311"/>
      <c r="D9" s="311"/>
      <c r="E9" s="311"/>
      <c r="F9" s="311"/>
    </row>
    <row r="10" spans="1:8" ht="15.75" x14ac:dyDescent="0.25">
      <c r="A10" s="320" t="s">
        <v>20</v>
      </c>
      <c r="B10" s="321"/>
      <c r="C10" s="321"/>
      <c r="D10" s="321"/>
      <c r="E10" s="321"/>
      <c r="F10" s="322"/>
    </row>
    <row r="11" spans="1:8" x14ac:dyDescent="0.2">
      <c r="A11" s="9" t="s">
        <v>2</v>
      </c>
      <c r="B11" s="399" t="s">
        <v>52</v>
      </c>
      <c r="C11" s="399"/>
      <c r="D11" s="399"/>
      <c r="E11" s="400" t="str">
        <f>TOTAIS!D12</f>
        <v>__/__/20__</v>
      </c>
      <c r="F11" s="401"/>
    </row>
    <row r="12" spans="1:8" x14ac:dyDescent="0.2">
      <c r="A12" s="9" t="s">
        <v>3</v>
      </c>
      <c r="B12" s="399" t="s">
        <v>50</v>
      </c>
      <c r="C12" s="399"/>
      <c r="D12" s="399"/>
      <c r="E12" s="285" t="str">
        <f>TOTAIS!D16</f>
        <v>Curitiba/PR</v>
      </c>
      <c r="F12" s="398"/>
    </row>
    <row r="13" spans="1:8" x14ac:dyDescent="0.2">
      <c r="A13" s="9" t="s">
        <v>4</v>
      </c>
      <c r="B13" s="399" t="s">
        <v>5</v>
      </c>
      <c r="C13" s="399"/>
      <c r="D13" s="399"/>
      <c r="E13" s="415" t="str">
        <f>TOTAIS!D17</f>
        <v>CCT 2019/2020</v>
      </c>
      <c r="F13" s="416"/>
    </row>
    <row r="14" spans="1:8" ht="13.5" thickBot="1" x14ac:dyDescent="0.25">
      <c r="A14" s="10" t="s">
        <v>6</v>
      </c>
      <c r="B14" s="61" t="s">
        <v>53</v>
      </c>
      <c r="C14" s="62"/>
      <c r="D14" s="63"/>
      <c r="E14" s="417">
        <f>TOTAIS!D18</f>
        <v>12</v>
      </c>
      <c r="F14" s="418"/>
    </row>
    <row r="15" spans="1:8" ht="13.5" thickBot="1" x14ac:dyDescent="0.25">
      <c r="A15" s="419"/>
      <c r="B15" s="419"/>
      <c r="C15" s="419"/>
      <c r="D15" s="419"/>
      <c r="E15" s="419"/>
      <c r="F15" s="419"/>
      <c r="G15" s="292"/>
      <c r="H15" s="292"/>
    </row>
    <row r="16" spans="1:8" x14ac:dyDescent="0.2">
      <c r="A16" s="64"/>
      <c r="B16" s="64"/>
      <c r="C16" s="64"/>
      <c r="D16" s="64"/>
      <c r="E16" s="64"/>
      <c r="F16" s="64"/>
      <c r="G16" s="64"/>
      <c r="H16" s="64"/>
    </row>
    <row r="17" spans="1:8" ht="13.5" thickBot="1" x14ac:dyDescent="0.25">
      <c r="A17" s="64"/>
      <c r="B17" s="64"/>
      <c r="C17" s="64"/>
      <c r="D17" s="64"/>
      <c r="E17" s="64"/>
      <c r="F17" s="64"/>
      <c r="G17" s="64"/>
      <c r="H17" s="64"/>
    </row>
    <row r="18" spans="1:8" x14ac:dyDescent="0.2">
      <c r="A18" s="426" t="s">
        <v>77</v>
      </c>
      <c r="B18" s="427"/>
      <c r="C18" s="427"/>
      <c r="D18" s="427"/>
      <c r="E18" s="427"/>
      <c r="F18" s="427"/>
      <c r="G18" s="427"/>
      <c r="H18" s="428"/>
    </row>
    <row r="19" spans="1:8" ht="13.5" thickBot="1" x14ac:dyDescent="0.25">
      <c r="A19" s="429"/>
      <c r="B19" s="430"/>
      <c r="C19" s="430"/>
      <c r="D19" s="430"/>
      <c r="E19" s="430"/>
      <c r="F19" s="430"/>
      <c r="G19" s="430"/>
      <c r="H19" s="431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ht="13.5" thickBot="1" x14ac:dyDescent="0.25">
      <c r="A21" s="64"/>
      <c r="B21" s="64"/>
      <c r="C21" s="64"/>
      <c r="D21" s="64"/>
      <c r="E21" s="64"/>
      <c r="F21" s="64"/>
      <c r="G21" s="64"/>
      <c r="H21" s="64"/>
    </row>
    <row r="22" spans="1:8" ht="15.75" x14ac:dyDescent="0.25">
      <c r="A22" s="320" t="s">
        <v>200</v>
      </c>
      <c r="B22" s="321"/>
      <c r="C22" s="321"/>
      <c r="D22" s="321"/>
      <c r="E22" s="321"/>
      <c r="F22" s="321"/>
      <c r="G22" s="321"/>
      <c r="H22" s="425"/>
    </row>
    <row r="23" spans="1:8" x14ac:dyDescent="0.2">
      <c r="A23" s="385" t="s">
        <v>67</v>
      </c>
      <c r="B23" s="386"/>
      <c r="C23" s="386"/>
      <c r="D23" s="386"/>
      <c r="E23" s="386"/>
      <c r="F23" s="5" t="s">
        <v>68</v>
      </c>
      <c r="G23" s="5" t="s">
        <v>69</v>
      </c>
      <c r="H23" s="6" t="s">
        <v>70</v>
      </c>
    </row>
    <row r="24" spans="1:8" x14ac:dyDescent="0.2">
      <c r="A24" s="384" t="s">
        <v>133</v>
      </c>
      <c r="B24" s="308"/>
      <c r="C24" s="308"/>
      <c r="D24" s="308"/>
      <c r="E24" s="308"/>
      <c r="F24" s="1">
        <v>0</v>
      </c>
      <c r="G24" s="2">
        <v>0</v>
      </c>
      <c r="H24" s="3">
        <f t="shared" ref="H24:H29" si="0">G24*F24</f>
        <v>0</v>
      </c>
    </row>
    <row r="25" spans="1:8" ht="27" customHeight="1" x14ac:dyDescent="0.2">
      <c r="A25" s="423" t="s">
        <v>192</v>
      </c>
      <c r="B25" s="424"/>
      <c r="C25" s="424"/>
      <c r="D25" s="424"/>
      <c r="E25" s="424"/>
      <c r="F25" s="1">
        <v>2</v>
      </c>
      <c r="G25" s="2">
        <v>0</v>
      </c>
      <c r="H25" s="3">
        <f t="shared" si="0"/>
        <v>0</v>
      </c>
    </row>
    <row r="26" spans="1:8" x14ac:dyDescent="0.2">
      <c r="A26" s="384" t="s">
        <v>134</v>
      </c>
      <c r="B26" s="308"/>
      <c r="C26" s="308"/>
      <c r="D26" s="308"/>
      <c r="E26" s="308"/>
      <c r="F26" s="1">
        <v>0</v>
      </c>
      <c r="G26" s="2">
        <v>0</v>
      </c>
      <c r="H26" s="3">
        <f t="shared" si="0"/>
        <v>0</v>
      </c>
    </row>
    <row r="27" spans="1:8" ht="42.75" customHeight="1" x14ac:dyDescent="0.2">
      <c r="A27" s="409" t="s">
        <v>193</v>
      </c>
      <c r="B27" s="410"/>
      <c r="C27" s="410"/>
      <c r="D27" s="410"/>
      <c r="E27" s="411"/>
      <c r="F27" s="1">
        <v>2</v>
      </c>
      <c r="G27" s="2">
        <v>0</v>
      </c>
      <c r="H27" s="3">
        <f t="shared" si="0"/>
        <v>0</v>
      </c>
    </row>
    <row r="28" spans="1:8" x14ac:dyDescent="0.2">
      <c r="A28" s="412" t="s">
        <v>73</v>
      </c>
      <c r="B28" s="413"/>
      <c r="C28" s="413"/>
      <c r="D28" s="413"/>
      <c r="E28" s="414"/>
      <c r="F28" s="1">
        <v>0</v>
      </c>
      <c r="G28" s="2">
        <v>0</v>
      </c>
      <c r="H28" s="3">
        <f t="shared" si="0"/>
        <v>0</v>
      </c>
    </row>
    <row r="29" spans="1:8" x14ac:dyDescent="0.2">
      <c r="A29" s="412" t="s">
        <v>135</v>
      </c>
      <c r="B29" s="413"/>
      <c r="C29" s="413"/>
      <c r="D29" s="413"/>
      <c r="E29" s="414"/>
      <c r="F29" s="1">
        <v>0</v>
      </c>
      <c r="G29" s="2">
        <v>0</v>
      </c>
      <c r="H29" s="3">
        <f t="shared" si="0"/>
        <v>0</v>
      </c>
    </row>
    <row r="30" spans="1:8" ht="13.5" thickBot="1" x14ac:dyDescent="0.25">
      <c r="A30" s="369" t="s">
        <v>65</v>
      </c>
      <c r="B30" s="404"/>
      <c r="C30" s="404"/>
      <c r="D30" s="404"/>
      <c r="E30" s="404"/>
      <c r="F30" s="404"/>
      <c r="G30" s="370"/>
      <c r="H30" s="4">
        <f>SUM(H24:H29)</f>
        <v>0</v>
      </c>
    </row>
    <row r="31" spans="1:8" ht="13.5" thickBot="1" x14ac:dyDescent="0.25">
      <c r="A31" s="405"/>
      <c r="B31" s="405"/>
      <c r="C31" s="405"/>
      <c r="D31" s="405"/>
      <c r="E31" s="405"/>
      <c r="F31" s="405"/>
      <c r="G31" s="405"/>
      <c r="H31" s="405"/>
    </row>
    <row r="32" spans="1:8" x14ac:dyDescent="0.2">
      <c r="A32" s="406" t="s">
        <v>71</v>
      </c>
      <c r="B32" s="407"/>
      <c r="C32" s="407"/>
      <c r="D32" s="407"/>
      <c r="E32" s="407"/>
      <c r="F32" s="407"/>
      <c r="G32" s="407"/>
      <c r="H32" s="408"/>
    </row>
    <row r="33" spans="1:8" x14ac:dyDescent="0.2">
      <c r="A33" s="384" t="s">
        <v>101</v>
      </c>
      <c r="B33" s="308"/>
      <c r="C33" s="308"/>
      <c r="D33" s="308"/>
      <c r="E33" s="308"/>
      <c r="F33" s="391"/>
      <c r="G33" s="391"/>
      <c r="H33" s="7">
        <f>H30</f>
        <v>0</v>
      </c>
    </row>
    <row r="34" spans="1:8" x14ac:dyDescent="0.2">
      <c r="A34" s="384" t="s">
        <v>76</v>
      </c>
      <c r="B34" s="308"/>
      <c r="C34" s="308"/>
      <c r="D34" s="308"/>
      <c r="E34" s="308"/>
      <c r="F34" s="392"/>
      <c r="G34" s="392"/>
      <c r="H34" s="22">
        <f>H33*2</f>
        <v>0</v>
      </c>
    </row>
    <row r="35" spans="1:8" ht="13.5" thickBot="1" x14ac:dyDescent="0.25">
      <c r="A35" s="394" t="s">
        <v>72</v>
      </c>
      <c r="B35" s="395"/>
      <c r="C35" s="395"/>
      <c r="D35" s="395"/>
      <c r="E35" s="395"/>
      <c r="F35" s="393"/>
      <c r="G35" s="393"/>
      <c r="H35" s="8">
        <f>H34/12</f>
        <v>0</v>
      </c>
    </row>
    <row r="36" spans="1:8" x14ac:dyDescent="0.2">
      <c r="A36" s="420"/>
      <c r="B36" s="420"/>
      <c r="C36" s="420"/>
      <c r="D36" s="420"/>
      <c r="E36" s="420"/>
      <c r="F36" s="420"/>
      <c r="G36" s="420"/>
      <c r="H36" s="420"/>
    </row>
    <row r="37" spans="1:8" ht="9.75" customHeight="1" x14ac:dyDescent="0.2">
      <c r="A37" s="354"/>
      <c r="B37" s="354"/>
      <c r="C37" s="354"/>
      <c r="D37" s="354"/>
      <c r="E37" s="354"/>
      <c r="F37" s="354"/>
      <c r="G37" s="354"/>
      <c r="H37" s="354"/>
    </row>
  </sheetData>
  <mergeCells count="38">
    <mergeCell ref="A36:H37"/>
    <mergeCell ref="A28:E28"/>
    <mergeCell ref="E8:F8"/>
    <mergeCell ref="A9:F9"/>
    <mergeCell ref="A10:F10"/>
    <mergeCell ref="A25:E25"/>
    <mergeCell ref="B12:D12"/>
    <mergeCell ref="E12:F12"/>
    <mergeCell ref="A22:H22"/>
    <mergeCell ref="A18:H19"/>
    <mergeCell ref="A33:E33"/>
    <mergeCell ref="F33:G35"/>
    <mergeCell ref="A35:E35"/>
    <mergeCell ref="A7:D7"/>
    <mergeCell ref="E7:F7"/>
    <mergeCell ref="A24:E24"/>
    <mergeCell ref="B11:D11"/>
    <mergeCell ref="E11:F11"/>
    <mergeCell ref="A8:D8"/>
    <mergeCell ref="A34:E34"/>
    <mergeCell ref="A30:G30"/>
    <mergeCell ref="A31:H31"/>
    <mergeCell ref="A32:H32"/>
    <mergeCell ref="A27:E27"/>
    <mergeCell ref="A29:E29"/>
    <mergeCell ref="B13:D13"/>
    <mergeCell ref="A1:H1"/>
    <mergeCell ref="A2:H2"/>
    <mergeCell ref="A3:H3"/>
    <mergeCell ref="A4:F4"/>
    <mergeCell ref="A26:E26"/>
    <mergeCell ref="A23:E23"/>
    <mergeCell ref="A6:D6"/>
    <mergeCell ref="E6:F6"/>
    <mergeCell ref="E13:F13"/>
    <mergeCell ref="E14:F14"/>
    <mergeCell ref="A5:F5"/>
    <mergeCell ref="A15:H15"/>
  </mergeCells>
  <phoneticPr fontId="8" type="noConversion"/>
  <pageMargins left="0.78740157480314965" right="0.78740157480314965" top="1.299212598425197" bottom="0.78740157480314965" header="0.51181102362204722" footer="0.51181102362204722"/>
  <pageSetup paperSize="9" scale="91" orientation="portrait" r:id="rId1"/>
  <headerFooter alignWithMargins="0">
    <oddHeader>&amp;L&amp;8&amp;F&amp;R&amp;8&amp;D</oddHeader>
    <oddFooter>&amp;L&amp;8&amp;A&amp;R&amp;8Pág.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>
    <tabColor indexed="46"/>
    <pageSetUpPr fitToPage="1"/>
  </sheetPr>
  <dimension ref="A1:H30"/>
  <sheetViews>
    <sheetView showGridLines="0" topLeftCell="A10" workbookViewId="0">
      <selection activeCell="H26" sqref="H26"/>
    </sheetView>
  </sheetViews>
  <sheetFormatPr defaultRowHeight="12.75" x14ac:dyDescent="0.2"/>
  <cols>
    <col min="1" max="1" width="3.7109375" style="16" customWidth="1"/>
    <col min="2" max="5" width="12.7109375" style="16" customWidth="1"/>
    <col min="6" max="8" width="15.7109375" style="16" customWidth="1"/>
    <col min="9" max="10" width="9.140625" style="16"/>
    <col min="11" max="11" width="9.5703125" style="16" bestFit="1" customWidth="1"/>
    <col min="12" max="16384" width="9.140625" style="16"/>
  </cols>
  <sheetData>
    <row r="1" spans="1:8" ht="20.25" x14ac:dyDescent="0.3">
      <c r="A1" s="286" t="s">
        <v>0</v>
      </c>
      <c r="B1" s="287"/>
      <c r="C1" s="287"/>
      <c r="D1" s="287"/>
      <c r="E1" s="287"/>
      <c r="F1" s="287"/>
      <c r="G1" s="287"/>
      <c r="H1" s="380"/>
    </row>
    <row r="2" spans="1:8" ht="20.25" x14ac:dyDescent="0.3">
      <c r="A2" s="288" t="str">
        <f>TOTAIS!A6</f>
        <v>FORNECEDOR</v>
      </c>
      <c r="B2" s="289"/>
      <c r="C2" s="289"/>
      <c r="D2" s="289"/>
      <c r="E2" s="289"/>
      <c r="F2" s="289"/>
      <c r="G2" s="289"/>
      <c r="H2" s="381"/>
    </row>
    <row r="3" spans="1:8" ht="21" thickBot="1" x14ac:dyDescent="0.35">
      <c r="A3" s="290" t="s">
        <v>75</v>
      </c>
      <c r="B3" s="291"/>
      <c r="C3" s="291"/>
      <c r="D3" s="291"/>
      <c r="E3" s="291"/>
      <c r="F3" s="291"/>
      <c r="G3" s="291"/>
      <c r="H3" s="382"/>
    </row>
    <row r="4" spans="1:8" ht="13.5" thickBot="1" x14ac:dyDescent="0.25">
      <c r="A4" s="383"/>
      <c r="B4" s="383"/>
      <c r="C4" s="383"/>
      <c r="D4" s="383"/>
      <c r="E4" s="383"/>
      <c r="F4" s="383"/>
    </row>
    <row r="5" spans="1:8" ht="16.5" thickBot="1" x14ac:dyDescent="0.3">
      <c r="A5" s="320" t="s">
        <v>66</v>
      </c>
      <c r="B5" s="321"/>
      <c r="C5" s="321"/>
      <c r="D5" s="321"/>
      <c r="E5" s="321"/>
      <c r="F5" s="322"/>
    </row>
    <row r="6" spans="1:8" x14ac:dyDescent="0.2">
      <c r="A6" s="387" t="s">
        <v>1</v>
      </c>
      <c r="B6" s="388"/>
      <c r="C6" s="388"/>
      <c r="D6" s="388"/>
      <c r="E6" s="389" t="str">
        <f>TOTAIS!D9</f>
        <v>23759.020964/2019-25</v>
      </c>
      <c r="F6" s="390"/>
    </row>
    <row r="7" spans="1:8" x14ac:dyDescent="0.2">
      <c r="A7" s="396" t="s">
        <v>19</v>
      </c>
      <c r="B7" s="397"/>
      <c r="C7" s="397"/>
      <c r="D7" s="397"/>
      <c r="E7" s="285" t="str">
        <f>TOTAIS!D10</f>
        <v>Pregão nº ___/20XX</v>
      </c>
      <c r="F7" s="398"/>
    </row>
    <row r="8" spans="1:8" ht="13.5" thickBot="1" x14ac:dyDescent="0.25">
      <c r="A8" s="402" t="s">
        <v>61</v>
      </c>
      <c r="B8" s="403"/>
      <c r="C8" s="403"/>
      <c r="D8" s="403"/>
      <c r="E8" s="421" t="str">
        <f>TOTAIS!E9</f>
        <v>Lucro Real</v>
      </c>
      <c r="F8" s="422"/>
    </row>
    <row r="9" spans="1:8" ht="13.5" thickBot="1" x14ac:dyDescent="0.25">
      <c r="A9" s="311"/>
      <c r="B9" s="311"/>
      <c r="C9" s="311"/>
      <c r="D9" s="311"/>
      <c r="E9" s="311"/>
      <c r="F9" s="311"/>
    </row>
    <row r="10" spans="1:8" ht="15.75" x14ac:dyDescent="0.25">
      <c r="A10" s="320" t="s">
        <v>20</v>
      </c>
      <c r="B10" s="321"/>
      <c r="C10" s="321"/>
      <c r="D10" s="321"/>
      <c r="E10" s="321"/>
      <c r="F10" s="322"/>
    </row>
    <row r="11" spans="1:8" x14ac:dyDescent="0.2">
      <c r="A11" s="9" t="s">
        <v>2</v>
      </c>
      <c r="B11" s="399" t="s">
        <v>52</v>
      </c>
      <c r="C11" s="399"/>
      <c r="D11" s="399"/>
      <c r="E11" s="400" t="str">
        <f>TOTAIS!D12</f>
        <v>__/__/20__</v>
      </c>
      <c r="F11" s="401"/>
    </row>
    <row r="12" spans="1:8" x14ac:dyDescent="0.2">
      <c r="A12" s="9" t="s">
        <v>3</v>
      </c>
      <c r="B12" s="399" t="s">
        <v>50</v>
      </c>
      <c r="C12" s="399"/>
      <c r="D12" s="399"/>
      <c r="E12" s="285" t="str">
        <f>TOTAIS!D16</f>
        <v>Curitiba/PR</v>
      </c>
      <c r="F12" s="398"/>
    </row>
    <row r="13" spans="1:8" x14ac:dyDescent="0.2">
      <c r="A13" s="9" t="s">
        <v>4</v>
      </c>
      <c r="B13" s="399" t="s">
        <v>5</v>
      </c>
      <c r="C13" s="399"/>
      <c r="D13" s="399"/>
      <c r="E13" s="415" t="str">
        <f>TOTAIS!D17</f>
        <v>CCT 2019/2020</v>
      </c>
      <c r="F13" s="416"/>
    </row>
    <row r="14" spans="1:8" ht="13.5" thickBot="1" x14ac:dyDescent="0.25">
      <c r="A14" s="10" t="s">
        <v>6</v>
      </c>
      <c r="B14" s="403" t="s">
        <v>53</v>
      </c>
      <c r="C14" s="403"/>
      <c r="D14" s="403"/>
      <c r="E14" s="417">
        <f>TOTAIS!D18</f>
        <v>12</v>
      </c>
      <c r="F14" s="418"/>
    </row>
    <row r="15" spans="1:8" ht="13.5" thickBot="1" x14ac:dyDescent="0.25">
      <c r="A15" s="419"/>
      <c r="B15" s="419"/>
      <c r="C15" s="419"/>
      <c r="D15" s="419"/>
      <c r="E15" s="419"/>
      <c r="F15" s="419"/>
      <c r="G15" s="419"/>
      <c r="H15" s="419"/>
    </row>
    <row r="16" spans="1:8" ht="15.75" x14ac:dyDescent="0.25">
      <c r="A16" s="320" t="s">
        <v>74</v>
      </c>
      <c r="B16" s="321"/>
      <c r="C16" s="321"/>
      <c r="D16" s="321"/>
      <c r="E16" s="321"/>
      <c r="F16" s="321"/>
      <c r="G16" s="321"/>
      <c r="H16" s="425"/>
    </row>
    <row r="17" spans="1:8" x14ac:dyDescent="0.2">
      <c r="A17" s="385" t="s">
        <v>67</v>
      </c>
      <c r="B17" s="386"/>
      <c r="C17" s="386"/>
      <c r="D17" s="386"/>
      <c r="E17" s="386"/>
      <c r="F17" s="5" t="s">
        <v>68</v>
      </c>
      <c r="G17" s="5" t="s">
        <v>69</v>
      </c>
      <c r="H17" s="6" t="s">
        <v>70</v>
      </c>
    </row>
    <row r="18" spans="1:8" x14ac:dyDescent="0.2">
      <c r="A18" s="438" t="s">
        <v>188</v>
      </c>
      <c r="B18" s="308"/>
      <c r="C18" s="308"/>
      <c r="D18" s="308"/>
      <c r="E18" s="308"/>
      <c r="F18" s="167">
        <v>0</v>
      </c>
      <c r="G18" s="2">
        <v>0</v>
      </c>
      <c r="H18" s="3">
        <f>G18*F18</f>
        <v>0</v>
      </c>
    </row>
    <row r="19" spans="1:8" x14ac:dyDescent="0.2">
      <c r="A19" s="439" t="s">
        <v>189</v>
      </c>
      <c r="B19" s="413"/>
      <c r="C19" s="413"/>
      <c r="D19" s="413"/>
      <c r="E19" s="414"/>
      <c r="F19" s="167">
        <v>0</v>
      </c>
      <c r="G19" s="2">
        <v>0</v>
      </c>
      <c r="H19" s="3">
        <f t="shared" ref="H19:H20" si="0">G19*F19</f>
        <v>0</v>
      </c>
    </row>
    <row r="20" spans="1:8" x14ac:dyDescent="0.2">
      <c r="A20" s="367" t="s">
        <v>190</v>
      </c>
      <c r="B20" s="308"/>
      <c r="C20" s="308"/>
      <c r="D20" s="308"/>
      <c r="E20" s="308"/>
      <c r="F20" s="167">
        <v>0</v>
      </c>
      <c r="G20" s="2">
        <v>0</v>
      </c>
      <c r="H20" s="3">
        <f t="shared" si="0"/>
        <v>0</v>
      </c>
    </row>
    <row r="21" spans="1:8" ht="13.5" thickBot="1" x14ac:dyDescent="0.25">
      <c r="A21" s="369" t="s">
        <v>65</v>
      </c>
      <c r="B21" s="404"/>
      <c r="C21" s="404"/>
      <c r="D21" s="404"/>
      <c r="E21" s="404"/>
      <c r="F21" s="404"/>
      <c r="G21" s="370"/>
      <c r="H21" s="4">
        <f>SUM(H18:H20)</f>
        <v>0</v>
      </c>
    </row>
    <row r="22" spans="1:8" ht="13.5" thickBot="1" x14ac:dyDescent="0.25">
      <c r="A22" s="405"/>
      <c r="B22" s="405"/>
      <c r="C22" s="405"/>
      <c r="D22" s="405"/>
      <c r="E22" s="405"/>
      <c r="F22" s="405"/>
      <c r="G22" s="405"/>
      <c r="H22" s="405"/>
    </row>
    <row r="23" spans="1:8" x14ac:dyDescent="0.2">
      <c r="A23" s="406" t="s">
        <v>71</v>
      </c>
      <c r="B23" s="407"/>
      <c r="C23" s="407"/>
      <c r="D23" s="407"/>
      <c r="E23" s="407"/>
      <c r="F23" s="407"/>
      <c r="G23" s="407"/>
      <c r="H23" s="408"/>
    </row>
    <row r="24" spans="1:8" x14ac:dyDescent="0.2">
      <c r="A24" s="384" t="s">
        <v>102</v>
      </c>
      <c r="B24" s="308"/>
      <c r="C24" s="308"/>
      <c r="D24" s="308"/>
      <c r="E24" s="308"/>
      <c r="F24" s="391"/>
      <c r="G24" s="391"/>
      <c r="H24" s="7">
        <f>H21</f>
        <v>0</v>
      </c>
    </row>
    <row r="25" spans="1:8" x14ac:dyDescent="0.2">
      <c r="A25" s="384" t="s">
        <v>103</v>
      </c>
      <c r="B25" s="308"/>
      <c r="C25" s="308"/>
      <c r="D25" s="308"/>
      <c r="E25" s="308"/>
      <c r="F25" s="392"/>
      <c r="G25" s="392"/>
      <c r="H25" s="22">
        <f>H24*2</f>
        <v>0</v>
      </c>
    </row>
    <row r="26" spans="1:8" ht="13.5" thickBot="1" x14ac:dyDescent="0.25">
      <c r="A26" s="394" t="s">
        <v>72</v>
      </c>
      <c r="B26" s="395"/>
      <c r="C26" s="395"/>
      <c r="D26" s="395"/>
      <c r="E26" s="395"/>
      <c r="F26" s="393"/>
      <c r="G26" s="393"/>
      <c r="H26" s="8">
        <f>H25/12</f>
        <v>0</v>
      </c>
    </row>
    <row r="27" spans="1:8" x14ac:dyDescent="0.2">
      <c r="A27" s="420"/>
      <c r="B27" s="420"/>
      <c r="C27" s="420"/>
      <c r="D27" s="420"/>
      <c r="E27" s="420"/>
      <c r="F27" s="420"/>
      <c r="G27" s="420"/>
      <c r="H27" s="420"/>
    </row>
    <row r="28" spans="1:8" ht="13.5" thickBot="1" x14ac:dyDescent="0.25">
      <c r="A28" s="354"/>
      <c r="B28" s="354"/>
      <c r="C28" s="354"/>
      <c r="D28" s="354"/>
      <c r="E28" s="354"/>
      <c r="F28" s="354"/>
      <c r="G28" s="354"/>
      <c r="H28" s="354"/>
    </row>
    <row r="29" spans="1:8" ht="12.75" customHeight="1" x14ac:dyDescent="0.2">
      <c r="A29" s="432" t="s">
        <v>78</v>
      </c>
      <c r="B29" s="433"/>
      <c r="C29" s="433"/>
      <c r="D29" s="433"/>
      <c r="E29" s="433"/>
      <c r="F29" s="433"/>
      <c r="G29" s="433"/>
      <c r="H29" s="434"/>
    </row>
    <row r="30" spans="1:8" ht="13.5" thickBot="1" x14ac:dyDescent="0.25">
      <c r="A30" s="435"/>
      <c r="B30" s="436"/>
      <c r="C30" s="436"/>
      <c r="D30" s="436"/>
      <c r="E30" s="436"/>
      <c r="F30" s="436"/>
      <c r="G30" s="436"/>
      <c r="H30" s="437"/>
    </row>
  </sheetData>
  <mergeCells count="36">
    <mergeCell ref="A1:H1"/>
    <mergeCell ref="A2:H2"/>
    <mergeCell ref="A3:H3"/>
    <mergeCell ref="A4:F4"/>
    <mergeCell ref="A10:F10"/>
    <mergeCell ref="B11:D11"/>
    <mergeCell ref="E11:F11"/>
    <mergeCell ref="A5:F5"/>
    <mergeCell ref="A6:D6"/>
    <mergeCell ref="E6:F6"/>
    <mergeCell ref="A7:D7"/>
    <mergeCell ref="E7:F7"/>
    <mergeCell ref="A8:D8"/>
    <mergeCell ref="E8:F8"/>
    <mergeCell ref="A9:F9"/>
    <mergeCell ref="B12:D12"/>
    <mergeCell ref="E12:F12"/>
    <mergeCell ref="A22:H22"/>
    <mergeCell ref="A21:G21"/>
    <mergeCell ref="B14:D14"/>
    <mergeCell ref="E14:F14"/>
    <mergeCell ref="A16:H16"/>
    <mergeCell ref="A17:E17"/>
    <mergeCell ref="A18:E18"/>
    <mergeCell ref="A15:H15"/>
    <mergeCell ref="B13:D13"/>
    <mergeCell ref="E13:F13"/>
    <mergeCell ref="A20:E20"/>
    <mergeCell ref="A19:E19"/>
    <mergeCell ref="A27:H28"/>
    <mergeCell ref="A29:H30"/>
    <mergeCell ref="A23:H23"/>
    <mergeCell ref="A24:E24"/>
    <mergeCell ref="F24:G26"/>
    <mergeCell ref="A26:E26"/>
    <mergeCell ref="A25:E25"/>
  </mergeCells>
  <phoneticPr fontId="8" type="noConversion"/>
  <pageMargins left="0.78740157480314965" right="0.78740157480314965" top="1.299212598425197" bottom="0.78740157480314965" header="0.51181102362204722" footer="0.51181102362204722"/>
  <pageSetup paperSize="9" scale="84" orientation="portrait" r:id="rId1"/>
  <headerFooter alignWithMargins="0">
    <oddHeader>&amp;L&amp;8&amp;F&amp;R&amp;8&amp;D</oddHeader>
    <oddFooter>&amp;L&amp;8&amp;A&amp;R&amp;8Pág.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pageSetUpPr fitToPage="1"/>
  </sheetPr>
  <dimension ref="A1:N24"/>
  <sheetViews>
    <sheetView showGridLines="0" workbookViewId="0">
      <selection activeCell="G19" sqref="G19"/>
    </sheetView>
  </sheetViews>
  <sheetFormatPr defaultRowHeight="12.75" x14ac:dyDescent="0.2"/>
  <cols>
    <col min="1" max="1" width="3.28515625" style="16" customWidth="1"/>
    <col min="2" max="2" width="64" style="16" customWidth="1"/>
    <col min="3" max="3" width="12.5703125" style="16" bestFit="1" customWidth="1"/>
    <col min="4" max="4" width="10" style="16" bestFit="1" customWidth="1"/>
    <col min="5" max="5" width="13.7109375" style="16" bestFit="1" customWidth="1"/>
    <col min="6" max="7" width="13.7109375" style="16" customWidth="1"/>
    <col min="8" max="8" width="12" style="16" bestFit="1" customWidth="1"/>
    <col min="9" max="9" width="15.42578125" style="16" bestFit="1" customWidth="1"/>
    <col min="10" max="10" width="8.5703125" style="16" bestFit="1" customWidth="1"/>
    <col min="11" max="11" width="15.5703125" style="16" bestFit="1" customWidth="1"/>
    <col min="12" max="13" width="18" style="16" bestFit="1" customWidth="1"/>
    <col min="14" max="14" width="22.42578125" style="16" bestFit="1" customWidth="1"/>
    <col min="15" max="16384" width="9.140625" style="16"/>
  </cols>
  <sheetData>
    <row r="1" spans="1:14" ht="20.25" x14ac:dyDescent="0.3">
      <c r="A1" s="286" t="str">
        <f>TOTAIS!A5</f>
        <v>Totalização de Custos e Formação de Preços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0.25" x14ac:dyDescent="0.3">
      <c r="A2" s="288" t="str">
        <f>TOTAIS!A6</f>
        <v>FORNECEDOR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21" thickBot="1" x14ac:dyDescent="0.35">
      <c r="A3" s="290" t="str">
        <f>TOTAIS!A7</f>
        <v>CNPJ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13.5" thickBot="1" x14ac:dyDescent="0.2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4" ht="15.75" x14ac:dyDescent="0.25">
      <c r="A5" s="293" t="s">
        <v>91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5"/>
      <c r="M5" s="295"/>
      <c r="N5" s="295"/>
    </row>
    <row r="6" spans="1:14" x14ac:dyDescent="0.2">
      <c r="A6" s="285" t="s">
        <v>67</v>
      </c>
      <c r="B6" s="285"/>
      <c r="C6" s="95" t="s">
        <v>92</v>
      </c>
      <c r="D6" s="95" t="s">
        <v>12</v>
      </c>
      <c r="E6" s="121" t="s">
        <v>183</v>
      </c>
      <c r="F6" s="87" t="s">
        <v>93</v>
      </c>
      <c r="G6" s="87" t="s">
        <v>94</v>
      </c>
      <c r="H6" s="87" t="s">
        <v>32</v>
      </c>
      <c r="I6" s="87" t="s">
        <v>60</v>
      </c>
      <c r="J6" s="96" t="s">
        <v>153</v>
      </c>
      <c r="K6" s="87" t="s">
        <v>154</v>
      </c>
      <c r="L6" s="87" t="s">
        <v>155</v>
      </c>
      <c r="M6" s="87" t="s">
        <v>39</v>
      </c>
    </row>
    <row r="7" spans="1:14" ht="15" customHeight="1" x14ac:dyDescent="0.2">
      <c r="A7" s="281" t="str">
        <f>TOTAIS!A22</f>
        <v>Técnico(a) em Secretariado - 44 horas semanais (Segunda a Sexta)</v>
      </c>
      <c r="B7" s="281"/>
      <c r="C7" s="108">
        <v>22</v>
      </c>
      <c r="D7" s="109">
        <v>2</v>
      </c>
      <c r="E7" s="122" t="s">
        <v>178</v>
      </c>
      <c r="F7" s="441">
        <v>0</v>
      </c>
      <c r="G7" s="440">
        <v>0</v>
      </c>
      <c r="H7" s="15">
        <v>0</v>
      </c>
      <c r="I7" s="97">
        <v>20.712299999999999</v>
      </c>
      <c r="J7" s="178">
        <v>6</v>
      </c>
      <c r="K7" s="93">
        <v>0.5796</v>
      </c>
      <c r="L7" s="94">
        <v>1.7</v>
      </c>
      <c r="M7" s="97">
        <v>0.47049999999999997</v>
      </c>
    </row>
    <row r="8" spans="1:14" ht="15" customHeight="1" x14ac:dyDescent="0.2">
      <c r="A8" s="281" t="str">
        <f>TOTAIS!A23</f>
        <v>Auxiliar de Arquivo - 44 horas semanais (Segunda a Sexta)</v>
      </c>
      <c r="B8" s="281"/>
      <c r="C8" s="108">
        <v>22</v>
      </c>
      <c r="D8" s="109">
        <v>2</v>
      </c>
      <c r="E8" s="122" t="s">
        <v>178</v>
      </c>
      <c r="F8" s="441">
        <v>0</v>
      </c>
      <c r="G8" s="440">
        <v>0</v>
      </c>
      <c r="H8" s="15">
        <v>0</v>
      </c>
      <c r="I8" s="97">
        <v>20.712299999999999</v>
      </c>
      <c r="J8" s="98">
        <v>6</v>
      </c>
      <c r="K8" s="93">
        <v>0.5796</v>
      </c>
      <c r="L8" s="94">
        <v>1.7</v>
      </c>
      <c r="M8" s="97">
        <v>0.47049999999999997</v>
      </c>
    </row>
    <row r="9" spans="1:14" ht="15" customHeight="1" x14ac:dyDescent="0.2">
      <c r="A9" s="281" t="str">
        <f>TOTAIS!A24</f>
        <v>Auxiliar de Arquivo - 12 x 36 - DIURNO (Segunda a domingo)</v>
      </c>
      <c r="B9" s="281"/>
      <c r="C9" s="108">
        <v>15.5</v>
      </c>
      <c r="D9" s="109">
        <v>2</v>
      </c>
      <c r="E9" s="122" t="s">
        <v>178</v>
      </c>
      <c r="F9" s="441">
        <v>0</v>
      </c>
      <c r="G9" s="440">
        <v>0</v>
      </c>
      <c r="H9" s="15">
        <v>0</v>
      </c>
      <c r="I9" s="97">
        <v>15</v>
      </c>
      <c r="J9" s="98">
        <v>6</v>
      </c>
      <c r="K9" s="93">
        <v>0.41970000000000002</v>
      </c>
      <c r="L9" s="94">
        <v>1.2312000000000001</v>
      </c>
      <c r="M9" s="97">
        <v>0.3407</v>
      </c>
    </row>
    <row r="10" spans="1:14" ht="15" customHeight="1" x14ac:dyDescent="0.2">
      <c r="A10" s="281" t="str">
        <f>TOTAIS!A25</f>
        <v>Auxiliar de Arquivo - 12 x 36 - NOTURNO (Segunda a domingo)</v>
      </c>
      <c r="B10" s="281"/>
      <c r="C10" s="108">
        <v>15.5</v>
      </c>
      <c r="D10" s="109">
        <v>2</v>
      </c>
      <c r="E10" s="122" t="s">
        <v>179</v>
      </c>
      <c r="F10" s="441">
        <v>0</v>
      </c>
      <c r="G10" s="440">
        <v>0</v>
      </c>
      <c r="H10" s="15">
        <v>0.2</v>
      </c>
      <c r="I10" s="97">
        <v>15</v>
      </c>
      <c r="J10" s="98">
        <v>6</v>
      </c>
      <c r="K10" s="93">
        <v>0.41970000000000002</v>
      </c>
      <c r="L10" s="94">
        <v>1.2312000000000001</v>
      </c>
      <c r="M10" s="97">
        <v>0.3407</v>
      </c>
    </row>
    <row r="11" spans="1:14" ht="15" customHeight="1" x14ac:dyDescent="0.2">
      <c r="A11" s="281" t="str">
        <f>TOTAIS!A26</f>
        <v>Carregador - Ajudante de apoio - 44 horas semanais (Segunda a Sexta)</v>
      </c>
      <c r="B11" s="281"/>
      <c r="C11" s="108">
        <v>22</v>
      </c>
      <c r="D11" s="109">
        <v>2</v>
      </c>
      <c r="E11" s="122" t="s">
        <v>178</v>
      </c>
      <c r="F11" s="441">
        <v>0</v>
      </c>
      <c r="G11" s="440">
        <v>0</v>
      </c>
      <c r="H11" s="15">
        <v>0</v>
      </c>
      <c r="I11" s="97">
        <v>20.712299999999999</v>
      </c>
      <c r="J11" s="98">
        <v>6</v>
      </c>
      <c r="K11" s="93">
        <v>0.5796</v>
      </c>
      <c r="L11" s="94">
        <v>1.7</v>
      </c>
      <c r="M11" s="97">
        <v>0.47049999999999997</v>
      </c>
    </row>
    <row r="12" spans="1:14" ht="15" customHeight="1" x14ac:dyDescent="0.2">
      <c r="A12" s="281" t="str">
        <f>TOTAIS!A27</f>
        <v>Encarregado - 44 horas semanais (Segunda a Sexta)</v>
      </c>
      <c r="B12" s="281"/>
      <c r="C12" s="108">
        <v>22</v>
      </c>
      <c r="D12" s="109">
        <v>2</v>
      </c>
      <c r="E12" s="122" t="s">
        <v>178</v>
      </c>
      <c r="F12" s="441">
        <v>0</v>
      </c>
      <c r="G12" s="440">
        <v>0</v>
      </c>
      <c r="H12" s="15">
        <v>0</v>
      </c>
      <c r="I12" s="97">
        <v>20.712299999999999</v>
      </c>
      <c r="J12" s="98">
        <v>6</v>
      </c>
      <c r="K12" s="93">
        <v>0.5796</v>
      </c>
      <c r="L12" s="94">
        <v>1.7</v>
      </c>
      <c r="M12" s="97">
        <v>0.47049999999999997</v>
      </c>
    </row>
    <row r="13" spans="1:14" x14ac:dyDescent="0.2">
      <c r="A13" s="110"/>
      <c r="B13" s="444" t="s">
        <v>206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86"/>
      <c r="N13" s="85"/>
    </row>
    <row r="14" spans="1:14" ht="13.5" thickBot="1" x14ac:dyDescent="0.25"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</row>
    <row r="15" spans="1:14" x14ac:dyDescent="0.2">
      <c r="A15" s="275" t="s">
        <v>95</v>
      </c>
      <c r="B15" s="276"/>
      <c r="C15" s="276"/>
      <c r="D15" s="276"/>
      <c r="E15" s="277"/>
      <c r="F15" s="117"/>
      <c r="G15" s="117"/>
      <c r="I15" s="73"/>
    </row>
    <row r="16" spans="1:14" x14ac:dyDescent="0.2">
      <c r="A16" s="278" t="s">
        <v>96</v>
      </c>
      <c r="B16" s="279"/>
      <c r="C16" s="279"/>
      <c r="D16" s="279"/>
      <c r="E16" s="280"/>
      <c r="F16" s="118"/>
      <c r="G16" s="118"/>
      <c r="I16" s="101"/>
    </row>
    <row r="17" spans="1:7" x14ac:dyDescent="0.2">
      <c r="A17" s="79"/>
      <c r="B17" s="282">
        <f>TOTAIS!F49</f>
        <v>4.5</v>
      </c>
      <c r="C17" s="283"/>
      <c r="D17" s="283"/>
      <c r="E17" s="284"/>
      <c r="F17" s="119"/>
      <c r="G17" s="119"/>
    </row>
    <row r="18" spans="1:7" x14ac:dyDescent="0.2">
      <c r="A18" s="273" t="s">
        <v>67</v>
      </c>
      <c r="B18" s="274"/>
      <c r="C18" s="80" t="s">
        <v>31</v>
      </c>
      <c r="D18" s="80" t="s">
        <v>92</v>
      </c>
      <c r="E18" s="17" t="s">
        <v>97</v>
      </c>
      <c r="F18" s="117"/>
      <c r="G18" s="117"/>
    </row>
    <row r="19" spans="1:7" x14ac:dyDescent="0.2">
      <c r="A19" s="272" t="str">
        <f>TOTAIS!A22</f>
        <v>Técnico(a) em Secretariado - 44 horas semanais (Segunda a Sexta)</v>
      </c>
      <c r="B19" s="272"/>
      <c r="C19" s="81">
        <f>TOTAIS!H22</f>
        <v>1000</v>
      </c>
      <c r="D19" s="82">
        <f t="shared" ref="D19:D24" si="0">C7</f>
        <v>22</v>
      </c>
      <c r="E19" s="13">
        <f t="shared" ref="E19:E24" si="1">IF(((C7*D7*$B$17)-(C19*6%))&gt;0,((C7*D7*$B$17)-(C19*6%)),0)</f>
        <v>138</v>
      </c>
      <c r="F19" s="120"/>
      <c r="G19" s="120"/>
    </row>
    <row r="20" spans="1:7" x14ac:dyDescent="0.2">
      <c r="A20" s="272" t="str">
        <f>TOTAIS!A23</f>
        <v>Auxiliar de Arquivo - 44 horas semanais (Segunda a Sexta)</v>
      </c>
      <c r="B20" s="272"/>
      <c r="C20" s="81">
        <f>TOTAIS!H23</f>
        <v>1000</v>
      </c>
      <c r="D20" s="82">
        <f t="shared" si="0"/>
        <v>22</v>
      </c>
      <c r="E20" s="13">
        <f t="shared" si="1"/>
        <v>138</v>
      </c>
      <c r="F20" s="120"/>
      <c r="G20" s="120"/>
    </row>
    <row r="21" spans="1:7" x14ac:dyDescent="0.2">
      <c r="A21" s="272" t="str">
        <f>TOTAIS!A24</f>
        <v>Auxiliar de Arquivo - 12 x 36 - DIURNO (Segunda a domingo)</v>
      </c>
      <c r="B21" s="272"/>
      <c r="C21" s="81">
        <f>TOTAIS!H24</f>
        <v>1000</v>
      </c>
      <c r="D21" s="82">
        <f t="shared" si="0"/>
        <v>15.5</v>
      </c>
      <c r="E21" s="13">
        <f t="shared" si="1"/>
        <v>79.5</v>
      </c>
      <c r="F21" s="120"/>
      <c r="G21" s="120"/>
    </row>
    <row r="22" spans="1:7" ht="13.5" customHeight="1" x14ac:dyDescent="0.2">
      <c r="A22" s="272" t="str">
        <f>TOTAIS!A25</f>
        <v>Auxiliar de Arquivo - 12 x 36 - NOTURNO (Segunda a domingo)</v>
      </c>
      <c r="B22" s="272"/>
      <c r="C22" s="81">
        <f>TOTAIS!H25</f>
        <v>1000</v>
      </c>
      <c r="D22" s="82">
        <f t="shared" si="0"/>
        <v>15.5</v>
      </c>
      <c r="E22" s="13">
        <f t="shared" si="1"/>
        <v>79.5</v>
      </c>
      <c r="F22" s="120"/>
      <c r="G22" s="120"/>
    </row>
    <row r="23" spans="1:7" ht="13.5" customHeight="1" x14ac:dyDescent="0.2">
      <c r="A23" s="272" t="str">
        <f>TOTAIS!A26</f>
        <v>Carregador - Ajudante de apoio - 44 horas semanais (Segunda a Sexta)</v>
      </c>
      <c r="B23" s="272"/>
      <c r="C23" s="81">
        <f>TOTAIS!H26</f>
        <v>1000</v>
      </c>
      <c r="D23" s="82">
        <f t="shared" si="0"/>
        <v>22</v>
      </c>
      <c r="E23" s="13">
        <f t="shared" si="1"/>
        <v>138</v>
      </c>
      <c r="F23" s="120"/>
      <c r="G23" s="120"/>
    </row>
    <row r="24" spans="1:7" ht="12.75" customHeight="1" x14ac:dyDescent="0.2">
      <c r="A24" s="272" t="str">
        <f>TOTAIS!A27</f>
        <v>Encarregado - 44 horas semanais (Segunda a Sexta)</v>
      </c>
      <c r="B24" s="272"/>
      <c r="C24" s="81">
        <f>TOTAIS!H27</f>
        <v>1000</v>
      </c>
      <c r="D24" s="82">
        <f t="shared" si="0"/>
        <v>22</v>
      </c>
      <c r="E24" s="13">
        <f t="shared" si="1"/>
        <v>138</v>
      </c>
      <c r="F24" s="120"/>
      <c r="G24" s="120"/>
    </row>
  </sheetData>
  <mergeCells count="23">
    <mergeCell ref="A6:B6"/>
    <mergeCell ref="A1:N1"/>
    <mergeCell ref="A2:N2"/>
    <mergeCell ref="A3:N3"/>
    <mergeCell ref="A4:N4"/>
    <mergeCell ref="A5:N5"/>
    <mergeCell ref="A11:B11"/>
    <mergeCell ref="A23:B23"/>
    <mergeCell ref="A7:B7"/>
    <mergeCell ref="A8:B8"/>
    <mergeCell ref="A9:B9"/>
    <mergeCell ref="A20:B20"/>
    <mergeCell ref="A21:B21"/>
    <mergeCell ref="A22:B22"/>
    <mergeCell ref="A10:B10"/>
    <mergeCell ref="A12:B12"/>
    <mergeCell ref="B17:E17"/>
    <mergeCell ref="B13:L14"/>
    <mergeCell ref="A24:B24"/>
    <mergeCell ref="A18:B18"/>
    <mergeCell ref="A19:B19"/>
    <mergeCell ref="A15:E15"/>
    <mergeCell ref="A16:E16"/>
  </mergeCells>
  <phoneticPr fontId="8" type="noConversion"/>
  <dataValidations count="1">
    <dataValidation type="list" allowBlank="1" showInputMessage="1" showErrorMessage="1" sqref="E7:E12">
      <formula1>"Sim,Não"</formula1>
    </dataValidation>
  </dataValidations>
  <pageMargins left="0.78740157480314965" right="0.78740157480314965" top="1.1811023622047245" bottom="0.98425196850393704" header="0.51181102362204722" footer="0.51181102362204722"/>
  <pageSetup scale="85" orientation="landscape" horizontalDpi="300" verticalDpi="300" r:id="rId1"/>
  <headerFooter alignWithMargins="0">
    <oddHeader>&amp;L&amp;F&amp;R&amp;D</oddHeader>
    <oddFooter>&amp;L&amp;A&amp;R&amp;P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I14"/>
  <sheetViews>
    <sheetView showGridLines="0" workbookViewId="0">
      <selection activeCell="E7" sqref="E7"/>
    </sheetView>
  </sheetViews>
  <sheetFormatPr defaultRowHeight="12.75" x14ac:dyDescent="0.2"/>
  <cols>
    <col min="1" max="1" width="3.5703125" style="16" customWidth="1"/>
    <col min="2" max="2" width="32.140625" style="16" customWidth="1"/>
    <col min="3" max="3" width="15.7109375" style="16" customWidth="1"/>
    <col min="4" max="5" width="21.5703125" style="16" customWidth="1"/>
    <col min="6" max="6" width="15.7109375" style="16" customWidth="1"/>
    <col min="7" max="7" width="14.85546875" style="16" customWidth="1"/>
    <col min="8" max="8" width="15.85546875" style="16" customWidth="1"/>
    <col min="9" max="9" width="20.42578125" style="16" customWidth="1"/>
    <col min="10" max="16384" width="9.140625" style="16"/>
  </cols>
  <sheetData>
    <row r="1" spans="1:9" ht="20.25" x14ac:dyDescent="0.3">
      <c r="A1" s="288" t="str">
        <f>TOTAIS!A5</f>
        <v>Totalização de Custos e Formação de Preços</v>
      </c>
      <c r="B1" s="289"/>
      <c r="C1" s="289"/>
      <c r="D1" s="289"/>
      <c r="E1" s="289"/>
      <c r="F1" s="289"/>
      <c r="G1" s="289"/>
      <c r="H1" s="289"/>
      <c r="I1" s="289"/>
    </row>
    <row r="2" spans="1:9" ht="20.25" x14ac:dyDescent="0.3">
      <c r="A2" s="288" t="str">
        <f>TOTAIS!A6</f>
        <v>FORNECEDOR</v>
      </c>
      <c r="B2" s="289"/>
      <c r="C2" s="289"/>
      <c r="D2" s="289"/>
      <c r="E2" s="289"/>
      <c r="F2" s="289"/>
      <c r="G2" s="289"/>
      <c r="H2" s="289"/>
      <c r="I2" s="289"/>
    </row>
    <row r="3" spans="1:9" ht="20.25" x14ac:dyDescent="0.3">
      <c r="A3" s="288" t="str">
        <f>TOTAIS!A7</f>
        <v>CNPJ</v>
      </c>
      <c r="B3" s="289"/>
      <c r="C3" s="289"/>
      <c r="D3" s="289"/>
      <c r="E3" s="289"/>
      <c r="F3" s="289"/>
      <c r="G3" s="289"/>
      <c r="H3" s="289"/>
      <c r="I3" s="289"/>
    </row>
    <row r="4" spans="1:9" x14ac:dyDescent="0.2">
      <c r="A4" s="292"/>
      <c r="B4" s="292"/>
      <c r="C4" s="292"/>
      <c r="D4" s="292"/>
      <c r="E4" s="292"/>
      <c r="F4" s="292"/>
      <c r="G4" s="292"/>
      <c r="H4" s="64"/>
    </row>
    <row r="5" spans="1:9" ht="16.5" thickBot="1" x14ac:dyDescent="0.3">
      <c r="A5" s="304" t="s">
        <v>98</v>
      </c>
      <c r="B5" s="305"/>
      <c r="C5" s="305"/>
      <c r="D5" s="305"/>
      <c r="E5" s="305"/>
      <c r="F5" s="305"/>
      <c r="G5" s="305"/>
      <c r="H5" s="305"/>
    </row>
    <row r="6" spans="1:9" s="111" customFormat="1" ht="36.75" thickBot="1" x14ac:dyDescent="0.25">
      <c r="A6" s="300" t="s">
        <v>67</v>
      </c>
      <c r="B6" s="301"/>
      <c r="C6" s="158" t="s">
        <v>177</v>
      </c>
      <c r="D6" s="159" t="s">
        <v>132</v>
      </c>
      <c r="E6" s="159" t="s">
        <v>158</v>
      </c>
      <c r="F6" s="159" t="s">
        <v>159</v>
      </c>
      <c r="G6" s="181" t="s">
        <v>164</v>
      </c>
      <c r="H6" s="181" t="s">
        <v>164</v>
      </c>
      <c r="I6" s="160" t="s">
        <v>131</v>
      </c>
    </row>
    <row r="7" spans="1:9" x14ac:dyDescent="0.2">
      <c r="A7" s="302" t="str">
        <f>TOTAIS!A22</f>
        <v>Técnico(a) em Secretariado - 44 horas semanais (Segunda a Sexta)</v>
      </c>
      <c r="B7" s="303"/>
      <c r="C7" s="153">
        <v>0</v>
      </c>
      <c r="D7" s="154">
        <v>0</v>
      </c>
      <c r="E7" s="155">
        <f>(C7*Matriz!C7)-(C7*Matriz!C7*D7)</f>
        <v>0</v>
      </c>
      <c r="F7" s="153">
        <v>0</v>
      </c>
      <c r="G7" s="153">
        <v>0</v>
      </c>
      <c r="H7" s="156">
        <v>0</v>
      </c>
      <c r="I7" s="157" t="s">
        <v>178</v>
      </c>
    </row>
    <row r="8" spans="1:9" x14ac:dyDescent="0.2">
      <c r="A8" s="296" t="str">
        <f>TOTAIS!A23</f>
        <v>Auxiliar de Arquivo - 44 horas semanais (Segunda a Sexta)</v>
      </c>
      <c r="B8" s="297"/>
      <c r="C8" s="71">
        <v>0</v>
      </c>
      <c r="D8" s="70">
        <v>0</v>
      </c>
      <c r="E8" s="83">
        <f>(C8*Matriz!C8)-(C8*Matriz!C8*D8)</f>
        <v>0</v>
      </c>
      <c r="F8" s="71">
        <v>0</v>
      </c>
      <c r="G8" s="71">
        <v>0</v>
      </c>
      <c r="H8" s="21">
        <v>0</v>
      </c>
      <c r="I8" s="147" t="s">
        <v>178</v>
      </c>
    </row>
    <row r="9" spans="1:9" x14ac:dyDescent="0.2">
      <c r="A9" s="296" t="str">
        <f>TOTAIS!A24</f>
        <v>Auxiliar de Arquivo - 12 x 36 - DIURNO (Segunda a domingo)</v>
      </c>
      <c r="B9" s="297"/>
      <c r="C9" s="71">
        <v>0</v>
      </c>
      <c r="D9" s="70">
        <v>0</v>
      </c>
      <c r="E9" s="83">
        <f>(C9*Matriz!C9)-(C9*Matriz!C9*D9)</f>
        <v>0</v>
      </c>
      <c r="F9" s="71">
        <v>0</v>
      </c>
      <c r="G9" s="71">
        <v>0</v>
      </c>
      <c r="H9" s="21">
        <v>0</v>
      </c>
      <c r="I9" s="147" t="s">
        <v>178</v>
      </c>
    </row>
    <row r="10" spans="1:9" x14ac:dyDescent="0.2">
      <c r="A10" s="296" t="str">
        <f>TOTAIS!A25</f>
        <v>Auxiliar de Arquivo - 12 x 36 - NOTURNO (Segunda a domingo)</v>
      </c>
      <c r="B10" s="297"/>
      <c r="C10" s="71">
        <v>0</v>
      </c>
      <c r="D10" s="70">
        <v>0</v>
      </c>
      <c r="E10" s="83">
        <f>(C10*Matriz!C10)-(C10*Matriz!C10*D10)</f>
        <v>0</v>
      </c>
      <c r="F10" s="71">
        <v>0</v>
      </c>
      <c r="G10" s="71">
        <v>0</v>
      </c>
      <c r="H10" s="21">
        <v>0</v>
      </c>
      <c r="I10" s="147" t="s">
        <v>178</v>
      </c>
    </row>
    <row r="11" spans="1:9" x14ac:dyDescent="0.2">
      <c r="A11" s="296" t="str">
        <f>TOTAIS!A26</f>
        <v>Carregador - Ajudante de apoio - 44 horas semanais (Segunda a Sexta)</v>
      </c>
      <c r="B11" s="297"/>
      <c r="C11" s="71">
        <v>0</v>
      </c>
      <c r="D11" s="70">
        <v>0</v>
      </c>
      <c r="E11" s="83">
        <f>(C11*Matriz!C11)-(C11*Matriz!C11*D11)</f>
        <v>0</v>
      </c>
      <c r="F11" s="71">
        <v>0</v>
      </c>
      <c r="G11" s="71">
        <v>0</v>
      </c>
      <c r="H11" s="21">
        <v>0</v>
      </c>
      <c r="I11" s="147" t="s">
        <v>178</v>
      </c>
    </row>
    <row r="12" spans="1:9" ht="13.5" thickBot="1" x14ac:dyDescent="0.25">
      <c r="A12" s="298" t="str">
        <f>TOTAIS!A27</f>
        <v>Encarregado - 44 horas semanais (Segunda a Sexta)</v>
      </c>
      <c r="B12" s="299"/>
      <c r="C12" s="148">
        <v>0</v>
      </c>
      <c r="D12" s="149">
        <v>0</v>
      </c>
      <c r="E12" s="150">
        <f>(C12*Matriz!C12)-(C12*Matriz!C12*D12)</f>
        <v>0</v>
      </c>
      <c r="F12" s="148">
        <v>0</v>
      </c>
      <c r="G12" s="148">
        <v>0</v>
      </c>
      <c r="H12" s="151">
        <v>0</v>
      </c>
      <c r="I12" s="152" t="s">
        <v>178</v>
      </c>
    </row>
    <row r="14" spans="1:9" x14ac:dyDescent="0.2">
      <c r="A14" s="182" t="s">
        <v>202</v>
      </c>
    </row>
  </sheetData>
  <mergeCells count="12">
    <mergeCell ref="A12:B12"/>
    <mergeCell ref="A4:G4"/>
    <mergeCell ref="A9:B9"/>
    <mergeCell ref="A10:B10"/>
    <mergeCell ref="A6:B6"/>
    <mergeCell ref="A7:B7"/>
    <mergeCell ref="A5:H5"/>
    <mergeCell ref="A1:I1"/>
    <mergeCell ref="A2:I2"/>
    <mergeCell ref="A3:I3"/>
    <mergeCell ref="A11:B11"/>
    <mergeCell ref="A8:B8"/>
  </mergeCells>
  <phoneticPr fontId="8" type="noConversion"/>
  <dataValidations count="1">
    <dataValidation type="list" allowBlank="1" showInputMessage="1" showErrorMessage="1" sqref="I7:I12">
      <formula1>"Sim,Não"</formula1>
    </dataValidation>
  </dataValidations>
  <pageMargins left="1.1811023622047245" right="0.39370078740157483" top="0.78740157480314965" bottom="0.98425196850393704" header="0.51181102362204722" footer="0.51181102362204722"/>
  <pageSetup orientation="portrait" horizontalDpi="300" verticalDpi="300" r:id="rId1"/>
  <headerFooter alignWithMargins="0">
    <oddHeader>&amp;L&amp;F&amp;R&amp;D</oddHeader>
    <oddFooter>&amp;L&amp;A&amp;R&amp;P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pageSetUpPr fitToPage="1"/>
  </sheetPr>
  <dimension ref="A1:G129"/>
  <sheetViews>
    <sheetView showGridLines="0" topLeftCell="A7" zoomScaleNormal="100" workbookViewId="0">
      <selection activeCell="B30" sqref="B30:C30"/>
    </sheetView>
  </sheetViews>
  <sheetFormatPr defaultRowHeight="12.75" x14ac:dyDescent="0.2"/>
  <cols>
    <col min="1" max="1" width="3.7109375" style="24" customWidth="1"/>
    <col min="2" max="2" width="24.7109375" style="16" customWidth="1"/>
    <col min="3" max="3" width="28.7109375" style="16" customWidth="1"/>
    <col min="4" max="4" width="32.85546875" style="16" bestFit="1" customWidth="1"/>
    <col min="5" max="5" width="28.7109375" style="16" customWidth="1"/>
    <col min="6" max="6" width="9.140625" style="16"/>
    <col min="7" max="7" width="12.28515625" style="16" bestFit="1" customWidth="1"/>
    <col min="8" max="8" width="12.140625" style="16" bestFit="1" customWidth="1"/>
    <col min="9" max="10" width="10.5703125" style="16" bestFit="1" customWidth="1"/>
    <col min="11" max="11" width="9.5703125" style="16" bestFit="1" customWidth="1"/>
    <col min="12" max="16384" width="9.140625" style="16"/>
  </cols>
  <sheetData>
    <row r="1" spans="1:5" ht="20.25" x14ac:dyDescent="0.3">
      <c r="A1" s="336" t="s">
        <v>0</v>
      </c>
      <c r="B1" s="337"/>
      <c r="C1" s="337"/>
      <c r="D1" s="337"/>
      <c r="E1" s="338"/>
    </row>
    <row r="2" spans="1:5" ht="20.25" x14ac:dyDescent="0.3">
      <c r="A2" s="339" t="str">
        <f>TOTAIS!A6</f>
        <v>FORNECEDOR</v>
      </c>
      <c r="B2" s="340"/>
      <c r="C2" s="340"/>
      <c r="D2" s="340"/>
      <c r="E2" s="341"/>
    </row>
    <row r="3" spans="1:5" ht="21" thickBot="1" x14ac:dyDescent="0.35">
      <c r="A3" s="342" t="str">
        <f>D19</f>
        <v>Técnico(a) em Secretariado - 44 horas semanais (Segunda a Sexta)</v>
      </c>
      <c r="B3" s="343"/>
      <c r="C3" s="343"/>
      <c r="D3" s="343"/>
      <c r="E3" s="344"/>
    </row>
    <row r="4" spans="1:5" ht="13.5" thickBot="1" x14ac:dyDescent="0.25">
      <c r="A4" s="292"/>
      <c r="B4" s="292"/>
      <c r="C4" s="292"/>
      <c r="D4" s="292"/>
      <c r="E4" s="25"/>
    </row>
    <row r="5" spans="1:5" x14ac:dyDescent="0.2">
      <c r="A5" s="327" t="s">
        <v>1</v>
      </c>
      <c r="B5" s="328"/>
      <c r="C5" s="328"/>
      <c r="D5" s="26" t="str">
        <f>TOTAIS!D9</f>
        <v>23759.020964/2019-25</v>
      </c>
      <c r="E5" s="27"/>
    </row>
    <row r="6" spans="1:5" x14ac:dyDescent="0.2">
      <c r="A6" s="334" t="s">
        <v>19</v>
      </c>
      <c r="B6" s="335"/>
      <c r="C6" s="335"/>
      <c r="D6" s="28" t="str">
        <f>TOTAIS!D10</f>
        <v>Pregão nº ___/20XX</v>
      </c>
      <c r="E6" s="27"/>
    </row>
    <row r="7" spans="1:5" x14ac:dyDescent="0.2">
      <c r="A7" s="345" t="s">
        <v>61</v>
      </c>
      <c r="B7" s="346"/>
      <c r="C7" s="346"/>
      <c r="D7" s="28" t="str">
        <f>TOTAIS!E9</f>
        <v>Lucro Real</v>
      </c>
      <c r="E7" s="27"/>
    </row>
    <row r="8" spans="1:5" ht="13.5" thickBot="1" x14ac:dyDescent="0.25">
      <c r="A8" s="309" t="s">
        <v>56</v>
      </c>
      <c r="B8" s="310"/>
      <c r="C8" s="310"/>
      <c r="D8" s="29">
        <f>TOTAIS!E22</f>
        <v>17</v>
      </c>
      <c r="E8" s="27"/>
    </row>
    <row r="9" spans="1:5" ht="13.5" thickBot="1" x14ac:dyDescent="0.25">
      <c r="A9" s="311"/>
      <c r="B9" s="311"/>
      <c r="C9" s="311"/>
      <c r="D9" s="311"/>
      <c r="E9" s="311"/>
    </row>
    <row r="10" spans="1:5" ht="15.75" x14ac:dyDescent="0.25">
      <c r="A10" s="329" t="s">
        <v>20</v>
      </c>
      <c r="B10" s="330"/>
      <c r="C10" s="330"/>
      <c r="D10" s="331"/>
      <c r="E10" s="27"/>
    </row>
    <row r="11" spans="1:5" x14ac:dyDescent="0.2">
      <c r="A11" s="30" t="s">
        <v>2</v>
      </c>
      <c r="B11" s="312" t="s">
        <v>52</v>
      </c>
      <c r="C11" s="313"/>
      <c r="D11" s="31" t="str">
        <f>TOTAIS!D12</f>
        <v>__/__/20__</v>
      </c>
      <c r="E11" s="27"/>
    </row>
    <row r="12" spans="1:5" x14ac:dyDescent="0.2">
      <c r="A12" s="30" t="s">
        <v>3</v>
      </c>
      <c r="B12" s="312" t="s">
        <v>50</v>
      </c>
      <c r="C12" s="313"/>
      <c r="D12" s="32" t="str">
        <f>TOTAIS!D16</f>
        <v>Curitiba/PR</v>
      </c>
      <c r="E12" s="27"/>
    </row>
    <row r="13" spans="1:5" x14ac:dyDescent="0.2">
      <c r="A13" s="30" t="s">
        <v>4</v>
      </c>
      <c r="B13" s="312" t="s">
        <v>5</v>
      </c>
      <c r="C13" s="313"/>
      <c r="D13" s="33" t="str">
        <f>TOTAIS!D17</f>
        <v>CCT 2019/2020</v>
      </c>
      <c r="E13" s="27"/>
    </row>
    <row r="14" spans="1:5" ht="13.5" thickBot="1" x14ac:dyDescent="0.25">
      <c r="A14" s="34" t="s">
        <v>6</v>
      </c>
      <c r="B14" s="332" t="s">
        <v>53</v>
      </c>
      <c r="C14" s="333"/>
      <c r="D14" s="35">
        <f>TOTAIS!D18</f>
        <v>12</v>
      </c>
      <c r="E14" s="27"/>
    </row>
    <row r="15" spans="1:5" ht="13.5" thickBot="1" x14ac:dyDescent="0.25">
      <c r="A15" s="311"/>
      <c r="B15" s="311"/>
      <c r="C15" s="311"/>
      <c r="D15" s="311"/>
      <c r="E15" s="311"/>
    </row>
    <row r="16" spans="1:5" ht="15.75" x14ac:dyDescent="0.25">
      <c r="A16" s="347" t="s">
        <v>24</v>
      </c>
      <c r="B16" s="348"/>
      <c r="C16" s="348"/>
      <c r="D16" s="349"/>
    </row>
    <row r="17" spans="1:5" x14ac:dyDescent="0.2">
      <c r="A17" s="12">
        <v>1</v>
      </c>
      <c r="B17" s="306" t="s">
        <v>22</v>
      </c>
      <c r="C17" s="306"/>
      <c r="D17" s="36" t="s">
        <v>156</v>
      </c>
    </row>
    <row r="18" spans="1:5" x14ac:dyDescent="0.2">
      <c r="A18" s="12">
        <v>2</v>
      </c>
      <c r="B18" s="306" t="s">
        <v>25</v>
      </c>
      <c r="C18" s="306"/>
      <c r="D18" s="102">
        <f>TOTAIS!H22</f>
        <v>1000</v>
      </c>
    </row>
    <row r="19" spans="1:5" x14ac:dyDescent="0.2">
      <c r="A19" s="12">
        <v>3</v>
      </c>
      <c r="B19" s="306" t="s">
        <v>26</v>
      </c>
      <c r="C19" s="306"/>
      <c r="D19" s="37" t="str">
        <f>TOTAIS!A22</f>
        <v>Técnico(a) em Secretariado - 44 horas semanais (Segunda a Sexta)</v>
      </c>
    </row>
    <row r="20" spans="1:5" ht="13.5" thickBot="1" x14ac:dyDescent="0.25">
      <c r="A20" s="38">
        <v>4</v>
      </c>
      <c r="B20" s="319" t="s">
        <v>51</v>
      </c>
      <c r="C20" s="319"/>
      <c r="D20" s="39" t="str">
        <f>TOTAIS!F16</f>
        <v>Validade CCT</v>
      </c>
    </row>
    <row r="21" spans="1:5" ht="13.5" thickBot="1" x14ac:dyDescent="0.25">
      <c r="A21" s="307"/>
      <c r="B21" s="307"/>
      <c r="C21" s="307"/>
      <c r="D21" s="307"/>
      <c r="E21" s="307"/>
    </row>
    <row r="22" spans="1:5" ht="15.75" x14ac:dyDescent="0.25">
      <c r="A22" s="315" t="s">
        <v>27</v>
      </c>
      <c r="B22" s="316"/>
      <c r="C22" s="316"/>
      <c r="D22" s="316"/>
      <c r="E22" s="317"/>
    </row>
    <row r="23" spans="1:5" x14ac:dyDescent="0.2">
      <c r="A23" s="12">
        <v>1</v>
      </c>
      <c r="B23" s="314" t="s">
        <v>28</v>
      </c>
      <c r="C23" s="314"/>
      <c r="D23" s="40" t="s">
        <v>29</v>
      </c>
      <c r="E23" s="11" t="s">
        <v>30</v>
      </c>
    </row>
    <row r="24" spans="1:5" x14ac:dyDescent="0.2">
      <c r="A24" s="12" t="s">
        <v>2</v>
      </c>
      <c r="B24" s="306" t="s">
        <v>31</v>
      </c>
      <c r="C24" s="306"/>
      <c r="D24" s="41"/>
      <c r="E24" s="42">
        <f>TOTAIS!H22</f>
        <v>1000</v>
      </c>
    </row>
    <row r="25" spans="1:5" x14ac:dyDescent="0.2">
      <c r="A25" s="12" t="s">
        <v>3</v>
      </c>
      <c r="B25" s="306" t="s">
        <v>10</v>
      </c>
      <c r="C25" s="306"/>
      <c r="D25" s="68">
        <f>Matriz!F7</f>
        <v>0</v>
      </c>
      <c r="E25" s="19">
        <f>E24*D25</f>
        <v>0</v>
      </c>
    </row>
    <row r="26" spans="1:5" x14ac:dyDescent="0.2">
      <c r="A26" s="12" t="s">
        <v>4</v>
      </c>
      <c r="B26" s="306" t="s">
        <v>11</v>
      </c>
      <c r="C26" s="306"/>
      <c r="D26" s="68">
        <f>Matriz!G7</f>
        <v>0</v>
      </c>
      <c r="E26" s="19">
        <f>D26*TOTAIS!F48</f>
        <v>0</v>
      </c>
    </row>
    <row r="27" spans="1:5" x14ac:dyDescent="0.2">
      <c r="A27" s="14" t="s">
        <v>7</v>
      </c>
      <c r="B27" s="306" t="s">
        <v>32</v>
      </c>
      <c r="C27" s="306"/>
      <c r="D27" s="69">
        <f>Matriz!H7</f>
        <v>0</v>
      </c>
      <c r="E27" s="19">
        <f>(((((SUM(E24:E26)/220)*D27)*7)*7)*4.35)/2</f>
        <v>0</v>
      </c>
    </row>
    <row r="28" spans="1:5" x14ac:dyDescent="0.2">
      <c r="A28" s="14" t="s">
        <v>8</v>
      </c>
      <c r="B28" s="306" t="s">
        <v>196</v>
      </c>
      <c r="C28" s="306"/>
      <c r="D28" s="41">
        <v>0</v>
      </c>
      <c r="E28" s="19">
        <f>IF(E27&lt;&gt; 0,((((((SUM(E24:E26)/220)*D27)+(SUM(E24:E26)/220))*0.875)*7)*4.35)/2,0)</f>
        <v>0</v>
      </c>
    </row>
    <row r="29" spans="1:5" x14ac:dyDescent="0.2">
      <c r="A29" s="172" t="s">
        <v>9</v>
      </c>
      <c r="B29" s="325" t="s">
        <v>198</v>
      </c>
      <c r="C29" s="326"/>
      <c r="D29" s="173">
        <v>0</v>
      </c>
      <c r="E29" s="19">
        <v>0</v>
      </c>
    </row>
    <row r="30" spans="1:5" ht="13.5" thickBot="1" x14ac:dyDescent="0.25">
      <c r="A30" s="23" t="s">
        <v>9</v>
      </c>
      <c r="B30" s="323" t="s">
        <v>131</v>
      </c>
      <c r="C30" s="324"/>
      <c r="D30" s="43">
        <v>0</v>
      </c>
      <c r="E30" s="19">
        <f>IF(CCT!I7="SIM",(E24+E25+E26)*((((11*71.429%)+3)/365.25)*100)%*50%*100%,0)</f>
        <v>0</v>
      </c>
    </row>
    <row r="31" spans="1:5" ht="13.5" thickBot="1" x14ac:dyDescent="0.25">
      <c r="A31" s="23" t="s">
        <v>13</v>
      </c>
      <c r="B31" s="318" t="s">
        <v>62</v>
      </c>
      <c r="C31" s="318"/>
      <c r="D31" s="171">
        <v>0</v>
      </c>
      <c r="E31" s="112">
        <f>D31*E24</f>
        <v>0</v>
      </c>
    </row>
    <row r="32" spans="1:5" ht="13.5" thickBot="1" x14ac:dyDescent="0.25">
      <c r="B32" s="359" t="s">
        <v>138</v>
      </c>
      <c r="C32" s="360"/>
      <c r="D32" s="360"/>
      <c r="E32" s="44">
        <f>SUM(E24:E31)</f>
        <v>1000</v>
      </c>
    </row>
    <row r="33" spans="1:5" ht="13.5" thickBot="1" x14ac:dyDescent="0.25">
      <c r="A33" s="354"/>
      <c r="B33" s="354"/>
      <c r="C33" s="354"/>
      <c r="D33" s="354"/>
      <c r="E33" s="354"/>
    </row>
    <row r="34" spans="1:5" ht="15.75" x14ac:dyDescent="0.25">
      <c r="A34" s="320" t="s">
        <v>128</v>
      </c>
      <c r="B34" s="321"/>
      <c r="C34" s="321"/>
      <c r="D34" s="322"/>
    </row>
    <row r="35" spans="1:5" x14ac:dyDescent="0.2">
      <c r="A35" s="12" t="s">
        <v>115</v>
      </c>
      <c r="B35" s="350" t="s">
        <v>157</v>
      </c>
      <c r="C35" s="351"/>
      <c r="D35" s="11" t="s">
        <v>30</v>
      </c>
    </row>
    <row r="36" spans="1:5" x14ac:dyDescent="0.2">
      <c r="A36" s="12" t="s">
        <v>2</v>
      </c>
      <c r="B36" s="325" t="s">
        <v>180</v>
      </c>
      <c r="C36" s="326"/>
      <c r="D36" s="42">
        <f>E32/12</f>
        <v>83.333333333333329</v>
      </c>
    </row>
    <row r="37" spans="1:5" ht="13.5" thickBot="1" x14ac:dyDescent="0.25">
      <c r="A37" s="12" t="s">
        <v>3</v>
      </c>
      <c r="B37" s="325" t="s">
        <v>181</v>
      </c>
      <c r="C37" s="326"/>
      <c r="D37" s="19">
        <f>E32*1/3/12</f>
        <v>27.777777777777775</v>
      </c>
      <c r="E37" s="113"/>
    </row>
    <row r="38" spans="1:5" ht="13.5" thickBot="1" x14ac:dyDescent="0.25">
      <c r="B38" s="355" t="s">
        <v>37</v>
      </c>
      <c r="C38" s="356"/>
      <c r="D38" s="44">
        <f>SUM(D36:D37)</f>
        <v>111.1111111111111</v>
      </c>
    </row>
    <row r="39" spans="1:5" x14ac:dyDescent="0.2">
      <c r="A39" s="354"/>
      <c r="B39" s="354"/>
      <c r="C39" s="354"/>
      <c r="D39" s="354"/>
      <c r="E39" s="354"/>
    </row>
    <row r="40" spans="1:5" x14ac:dyDescent="0.2">
      <c r="A40" s="12" t="s">
        <v>116</v>
      </c>
      <c r="B40" s="350" t="s">
        <v>127</v>
      </c>
      <c r="C40" s="351"/>
      <c r="D40" s="11" t="s">
        <v>38</v>
      </c>
      <c r="E40" s="11" t="s">
        <v>30</v>
      </c>
    </row>
    <row r="41" spans="1:5" x14ac:dyDescent="0.2">
      <c r="A41" s="12" t="s">
        <v>2</v>
      </c>
      <c r="B41" s="306" t="s">
        <v>54</v>
      </c>
      <c r="C41" s="306"/>
      <c r="D41" s="46">
        <v>0.2</v>
      </c>
      <c r="E41" s="47">
        <f>($E$32+$D$38)*D41</f>
        <v>222.22222222222223</v>
      </c>
    </row>
    <row r="42" spans="1:5" x14ac:dyDescent="0.2">
      <c r="A42" s="12" t="s">
        <v>3</v>
      </c>
      <c r="B42" s="306" t="s">
        <v>17</v>
      </c>
      <c r="C42" s="306"/>
      <c r="D42" s="46">
        <v>2.5000000000000001E-2</v>
      </c>
      <c r="E42" s="47">
        <f t="shared" ref="E42:E48" si="0">($E$32+$D$38)*D42</f>
        <v>27.777777777777779</v>
      </c>
    </row>
    <row r="43" spans="1:5" x14ac:dyDescent="0.2">
      <c r="A43" s="12" t="s">
        <v>4</v>
      </c>
      <c r="B43" s="306" t="s">
        <v>182</v>
      </c>
      <c r="C43" s="306"/>
      <c r="D43" s="170">
        <v>0.03</v>
      </c>
      <c r="E43" s="47">
        <f t="shared" si="0"/>
        <v>33.333333333333329</v>
      </c>
    </row>
    <row r="44" spans="1:5" x14ac:dyDescent="0.2">
      <c r="A44" s="12" t="s">
        <v>6</v>
      </c>
      <c r="B44" s="306" t="s">
        <v>117</v>
      </c>
      <c r="C44" s="306"/>
      <c r="D44" s="46">
        <v>1.4999999999999999E-2</v>
      </c>
      <c r="E44" s="47">
        <f t="shared" si="0"/>
        <v>16.666666666666664</v>
      </c>
    </row>
    <row r="45" spans="1:5" x14ac:dyDescent="0.2">
      <c r="A45" s="14" t="s">
        <v>7</v>
      </c>
      <c r="B45" s="306" t="s">
        <v>118</v>
      </c>
      <c r="C45" s="306"/>
      <c r="D45" s="46">
        <v>0.01</v>
      </c>
      <c r="E45" s="47">
        <f t="shared" si="0"/>
        <v>11.111111111111111</v>
      </c>
    </row>
    <row r="46" spans="1:5" x14ac:dyDescent="0.2">
      <c r="A46" s="14" t="s">
        <v>8</v>
      </c>
      <c r="B46" s="306" t="s">
        <v>16</v>
      </c>
      <c r="C46" s="306"/>
      <c r="D46" s="46">
        <v>6.0000000000000001E-3</v>
      </c>
      <c r="E46" s="47">
        <f t="shared" si="0"/>
        <v>6.666666666666667</v>
      </c>
    </row>
    <row r="47" spans="1:5" ht="13.5" thickBot="1" x14ac:dyDescent="0.25">
      <c r="A47" s="23" t="s">
        <v>9</v>
      </c>
      <c r="B47" s="306" t="s">
        <v>15</v>
      </c>
      <c r="C47" s="306"/>
      <c r="D47" s="46">
        <v>2E-3</v>
      </c>
      <c r="E47" s="47">
        <f t="shared" si="0"/>
        <v>2.2222222222222223</v>
      </c>
    </row>
    <row r="48" spans="1:5" ht="13.5" thickBot="1" x14ac:dyDescent="0.25">
      <c r="A48" s="12" t="s">
        <v>13</v>
      </c>
      <c r="B48" s="319" t="s">
        <v>14</v>
      </c>
      <c r="C48" s="319"/>
      <c r="D48" s="48">
        <v>0.08</v>
      </c>
      <c r="E48" s="47">
        <f t="shared" si="0"/>
        <v>88.888888888888886</v>
      </c>
    </row>
    <row r="49" spans="1:5" ht="13.5" thickBot="1" x14ac:dyDescent="0.25">
      <c r="B49" s="352" t="s">
        <v>139</v>
      </c>
      <c r="C49" s="353"/>
      <c r="D49" s="84">
        <f>SUM(D41:D48)</f>
        <v>0.36800000000000005</v>
      </c>
      <c r="E49" s="65">
        <f>SUM(E41:E48)</f>
        <v>408.88888888888891</v>
      </c>
    </row>
    <row r="50" spans="1:5" x14ac:dyDescent="0.2">
      <c r="B50" s="24"/>
      <c r="C50" s="24"/>
      <c r="D50" s="24"/>
      <c r="E50" s="24"/>
    </row>
    <row r="51" spans="1:5" x14ac:dyDescent="0.2">
      <c r="A51" s="12" t="s">
        <v>119</v>
      </c>
      <c r="B51" s="350" t="s">
        <v>34</v>
      </c>
      <c r="C51" s="351"/>
      <c r="D51" s="11" t="s">
        <v>30</v>
      </c>
      <c r="E51" s="24"/>
    </row>
    <row r="52" spans="1:5" x14ac:dyDescent="0.2">
      <c r="A52" s="12" t="s">
        <v>2</v>
      </c>
      <c r="B52" s="325" t="s">
        <v>120</v>
      </c>
      <c r="C52" s="326"/>
      <c r="D52" s="42">
        <f>Matriz!E19</f>
        <v>138</v>
      </c>
      <c r="E52" s="24"/>
    </row>
    <row r="53" spans="1:5" x14ac:dyDescent="0.2">
      <c r="A53" s="12" t="s">
        <v>3</v>
      </c>
      <c r="B53" s="325" t="s">
        <v>121</v>
      </c>
      <c r="C53" s="326"/>
      <c r="D53" s="19">
        <f>CCT!E7</f>
        <v>0</v>
      </c>
      <c r="E53" s="24"/>
    </row>
    <row r="54" spans="1:5" x14ac:dyDescent="0.2">
      <c r="A54" s="18" t="s">
        <v>4</v>
      </c>
      <c r="B54" s="306" t="str">
        <f>CCT!F6</f>
        <v>Auxílio Saúde</v>
      </c>
      <c r="C54" s="306"/>
      <c r="D54" s="72">
        <f>CCT!F7</f>
        <v>0</v>
      </c>
      <c r="E54" s="24"/>
    </row>
    <row r="55" spans="1:5" x14ac:dyDescent="0.2">
      <c r="A55" s="18" t="s">
        <v>6</v>
      </c>
      <c r="B55" s="306" t="str">
        <f>CCT!G6</f>
        <v>Beneficio CCT</v>
      </c>
      <c r="C55" s="306"/>
      <c r="D55" s="72">
        <f>CCT!G7</f>
        <v>0</v>
      </c>
      <c r="E55" s="24"/>
    </row>
    <row r="56" spans="1:5" x14ac:dyDescent="0.2">
      <c r="A56" s="18" t="s">
        <v>7</v>
      </c>
      <c r="B56" s="325" t="str">
        <f>CCT!H6</f>
        <v>Beneficio CCT</v>
      </c>
      <c r="C56" s="326"/>
      <c r="D56" s="72">
        <f>CCT!H7</f>
        <v>0</v>
      </c>
      <c r="E56" s="24"/>
    </row>
    <row r="57" spans="1:5" ht="13.5" thickBot="1" x14ac:dyDescent="0.25">
      <c r="B57" s="357" t="s">
        <v>140</v>
      </c>
      <c r="C57" s="358"/>
      <c r="D57" s="52">
        <f>SUM(D52:D56)</f>
        <v>138</v>
      </c>
      <c r="E57" s="24"/>
    </row>
    <row r="58" spans="1:5" ht="13.5" thickBot="1" x14ac:dyDescent="0.25">
      <c r="B58" s="24"/>
      <c r="C58" s="24"/>
      <c r="D58" s="24"/>
      <c r="E58" s="24"/>
    </row>
    <row r="59" spans="1:5" ht="16.5" thickBot="1" x14ac:dyDescent="0.3">
      <c r="A59" s="320" t="s">
        <v>129</v>
      </c>
      <c r="B59" s="321"/>
      <c r="C59" s="321"/>
      <c r="D59" s="322"/>
      <c r="E59" s="24"/>
    </row>
    <row r="60" spans="1:5" x14ac:dyDescent="0.2">
      <c r="A60" s="49">
        <v>2</v>
      </c>
      <c r="B60" s="368" t="s">
        <v>141</v>
      </c>
      <c r="C60" s="368"/>
      <c r="D60" s="51" t="s">
        <v>30</v>
      </c>
      <c r="E60" s="24"/>
    </row>
    <row r="61" spans="1:5" x14ac:dyDescent="0.2">
      <c r="A61" s="12" t="s">
        <v>115</v>
      </c>
      <c r="B61" s="306" t="str">
        <f>B35</f>
        <v>13º Salário e Adicional de Férias</v>
      </c>
      <c r="C61" s="306"/>
      <c r="D61" s="42">
        <f>D38</f>
        <v>111.1111111111111</v>
      </c>
      <c r="E61" s="24"/>
    </row>
    <row r="62" spans="1:5" x14ac:dyDescent="0.2">
      <c r="A62" s="12" t="s">
        <v>116</v>
      </c>
      <c r="B62" s="306" t="str">
        <f>B40</f>
        <v>Encargos previdenciarios, FGTS e outras contribuições</v>
      </c>
      <c r="C62" s="306"/>
      <c r="D62" s="19">
        <f>E49</f>
        <v>408.88888888888891</v>
      </c>
      <c r="E62" s="24"/>
    </row>
    <row r="63" spans="1:5" x14ac:dyDescent="0.2">
      <c r="A63" s="12" t="s">
        <v>119</v>
      </c>
      <c r="B63" s="306" t="str">
        <f>B51</f>
        <v>Benefícios Mensais e Diários</v>
      </c>
      <c r="C63" s="306"/>
      <c r="D63" s="19">
        <f>D57</f>
        <v>138</v>
      </c>
      <c r="E63" s="24"/>
    </row>
    <row r="64" spans="1:5" ht="13.5" thickBot="1" x14ac:dyDescent="0.25">
      <c r="B64" s="357" t="s">
        <v>142</v>
      </c>
      <c r="C64" s="371"/>
      <c r="D64" s="52">
        <f>SUM(D61:D63)</f>
        <v>658</v>
      </c>
      <c r="E64" s="24"/>
    </row>
    <row r="65" spans="1:6" ht="13.5" thickBot="1" x14ac:dyDescent="0.25">
      <c r="B65" s="24"/>
      <c r="C65" s="24"/>
      <c r="D65" s="24"/>
      <c r="E65" s="24"/>
    </row>
    <row r="66" spans="1:6" ht="16.5" thickBot="1" x14ac:dyDescent="0.3">
      <c r="A66" s="320" t="s">
        <v>122</v>
      </c>
      <c r="B66" s="321"/>
      <c r="C66" s="321"/>
      <c r="D66" s="322"/>
    </row>
    <row r="67" spans="1:6" x14ac:dyDescent="0.2">
      <c r="A67" s="49">
        <v>3</v>
      </c>
      <c r="B67" s="368" t="s">
        <v>40</v>
      </c>
      <c r="C67" s="368"/>
      <c r="D67" s="76" t="s">
        <v>30</v>
      </c>
    </row>
    <row r="68" spans="1:6" x14ac:dyDescent="0.2">
      <c r="A68" s="12" t="s">
        <v>2</v>
      </c>
      <c r="B68" s="324" t="s">
        <v>41</v>
      </c>
      <c r="C68" s="324"/>
      <c r="D68" s="91">
        <f>E32*(10%*(1/12))</f>
        <v>8.3333333333333339</v>
      </c>
      <c r="E68" s="115"/>
    </row>
    <row r="69" spans="1:6" x14ac:dyDescent="0.2">
      <c r="A69" s="12" t="s">
        <v>3</v>
      </c>
      <c r="B69" s="306" t="s">
        <v>79</v>
      </c>
      <c r="C69" s="306"/>
      <c r="D69" s="90">
        <f>D68*0.08</f>
        <v>0.66666666666666674</v>
      </c>
      <c r="E69" s="114"/>
      <c r="F69" s="114"/>
    </row>
    <row r="70" spans="1:6" x14ac:dyDescent="0.2">
      <c r="A70" s="12" t="s">
        <v>4</v>
      </c>
      <c r="B70" s="306" t="s">
        <v>162</v>
      </c>
      <c r="C70" s="306"/>
      <c r="D70" s="90">
        <f>D69*0.4</f>
        <v>0.26666666666666672</v>
      </c>
      <c r="E70" s="116"/>
      <c r="F70" s="114"/>
    </row>
    <row r="71" spans="1:6" x14ac:dyDescent="0.2">
      <c r="A71" s="12" t="s">
        <v>6</v>
      </c>
      <c r="B71" s="306" t="s">
        <v>42</v>
      </c>
      <c r="C71" s="306"/>
      <c r="D71" s="90">
        <f>E32*0.9*7/360</f>
        <v>17.5</v>
      </c>
      <c r="F71" s="115"/>
    </row>
    <row r="72" spans="1:6" x14ac:dyDescent="0.2">
      <c r="A72" s="12" t="s">
        <v>7</v>
      </c>
      <c r="B72" s="306" t="s">
        <v>197</v>
      </c>
      <c r="C72" s="306"/>
      <c r="D72" s="90">
        <f>E32*(D49*((90%*7/(360)*100)/100))</f>
        <v>6.44</v>
      </c>
      <c r="E72" s="114"/>
    </row>
    <row r="73" spans="1:6" x14ac:dyDescent="0.2">
      <c r="A73" s="12" t="s">
        <v>8</v>
      </c>
      <c r="B73" s="367" t="s">
        <v>204</v>
      </c>
      <c r="C73" s="306"/>
      <c r="D73" s="90">
        <f>E48*0.4</f>
        <v>35.555555555555557</v>
      </c>
      <c r="E73" s="114"/>
    </row>
    <row r="74" spans="1:6" ht="13.5" thickBot="1" x14ac:dyDescent="0.25">
      <c r="B74" s="357" t="s">
        <v>143</v>
      </c>
      <c r="C74" s="371"/>
      <c r="D74" s="92">
        <f>SUM(D68:D73)</f>
        <v>68.762222222222221</v>
      </c>
    </row>
    <row r="75" spans="1:6" ht="13.5" thickBot="1" x14ac:dyDescent="0.25">
      <c r="A75" s="354"/>
      <c r="B75" s="354"/>
      <c r="C75" s="354"/>
      <c r="D75" s="354"/>
      <c r="E75" s="354"/>
    </row>
    <row r="76" spans="1:6" ht="15.75" x14ac:dyDescent="0.25">
      <c r="A76" s="320" t="s">
        <v>161</v>
      </c>
      <c r="B76" s="321"/>
      <c r="C76" s="321"/>
      <c r="D76" s="322"/>
      <c r="E76" s="24"/>
    </row>
    <row r="77" spans="1:6" x14ac:dyDescent="0.2">
      <c r="A77" s="12" t="s">
        <v>144</v>
      </c>
      <c r="B77" s="314" t="s">
        <v>125</v>
      </c>
      <c r="C77" s="314"/>
      <c r="D77" s="11" t="s">
        <v>30</v>
      </c>
      <c r="E77" s="24"/>
    </row>
    <row r="78" spans="1:6" x14ac:dyDescent="0.2">
      <c r="A78" s="12" t="s">
        <v>2</v>
      </c>
      <c r="B78" s="323" t="s">
        <v>60</v>
      </c>
      <c r="C78" s="324"/>
      <c r="D78" s="42">
        <f>(((((E32+D64+D74)/Matriz!C7)*Matriz!I7)/12))</f>
        <v>135.47430748232321</v>
      </c>
      <c r="E78" s="99"/>
    </row>
    <row r="79" spans="1:6" x14ac:dyDescent="0.2">
      <c r="A79" s="12" t="s">
        <v>3</v>
      </c>
      <c r="B79" s="323" t="s">
        <v>130</v>
      </c>
      <c r="C79" s="324"/>
      <c r="D79" s="42">
        <f>((((E32+D64+D74)/Matriz!C7))*Matriz!J7)/12</f>
        <v>39.244595959595955</v>
      </c>
      <c r="E79" s="24"/>
      <c r="F79" s="75"/>
    </row>
    <row r="80" spans="1:6" x14ac:dyDescent="0.2">
      <c r="A80" s="12" t="s">
        <v>4</v>
      </c>
      <c r="B80" s="323" t="s">
        <v>154</v>
      </c>
      <c r="C80" s="324"/>
      <c r="D80" s="42">
        <f>((((E32+D64+D74)/Matriz!C7))*Matriz!K7)/12</f>
        <v>3.7910279696969695</v>
      </c>
      <c r="E80" s="24"/>
    </row>
    <row r="81" spans="1:5" x14ac:dyDescent="0.2">
      <c r="A81" s="12" t="s">
        <v>6</v>
      </c>
      <c r="B81" s="324" t="s">
        <v>123</v>
      </c>
      <c r="C81" s="324"/>
      <c r="D81" s="42">
        <f>((((E32+D64+D74)/Matriz!C7))*Matriz!L7)/12</f>
        <v>11.119302188552188</v>
      </c>
      <c r="E81" s="24"/>
    </row>
    <row r="82" spans="1:5" x14ac:dyDescent="0.2">
      <c r="A82" s="12" t="s">
        <v>7</v>
      </c>
      <c r="B82" s="324" t="s">
        <v>39</v>
      </c>
      <c r="C82" s="324"/>
      <c r="D82" s="78">
        <f>((((E32+D64+D74)/Matriz!C7))*Matriz!M7)/12</f>
        <v>3.0774303998316497</v>
      </c>
      <c r="E82" s="24"/>
    </row>
    <row r="83" spans="1:5" ht="13.5" thickBot="1" x14ac:dyDescent="0.25">
      <c r="A83" s="38" t="s">
        <v>8</v>
      </c>
      <c r="B83" s="318" t="s">
        <v>62</v>
      </c>
      <c r="C83" s="318"/>
      <c r="D83" s="177">
        <v>0</v>
      </c>
      <c r="E83" s="24"/>
    </row>
    <row r="84" spans="1:5" ht="13.5" thickBot="1" x14ac:dyDescent="0.25">
      <c r="B84" s="55" t="s">
        <v>145</v>
      </c>
      <c r="C84" s="56"/>
      <c r="D84" s="52">
        <f>SUM(D78:D83)</f>
        <v>192.70666399999999</v>
      </c>
      <c r="E84" s="24"/>
    </row>
    <row r="85" spans="1:5" ht="13.5" thickBot="1" x14ac:dyDescent="0.25">
      <c r="A85" s="66"/>
      <c r="B85" s="66"/>
      <c r="C85" s="66"/>
      <c r="D85" s="74"/>
      <c r="E85" s="66"/>
    </row>
    <row r="86" spans="1:5" ht="15.75" x14ac:dyDescent="0.25">
      <c r="A86" s="320" t="s">
        <v>124</v>
      </c>
      <c r="B86" s="321"/>
      <c r="C86" s="321"/>
      <c r="D86" s="322"/>
      <c r="E86" s="66"/>
    </row>
    <row r="87" spans="1:5" x14ac:dyDescent="0.2">
      <c r="A87" s="12">
        <v>4</v>
      </c>
      <c r="B87" s="350" t="s">
        <v>125</v>
      </c>
      <c r="C87" s="351"/>
      <c r="D87" s="11" t="s">
        <v>30</v>
      </c>
      <c r="E87" s="66"/>
    </row>
    <row r="88" spans="1:5" x14ac:dyDescent="0.2">
      <c r="A88" s="12" t="s">
        <v>144</v>
      </c>
      <c r="B88" s="363" t="s">
        <v>125</v>
      </c>
      <c r="C88" s="364"/>
      <c r="D88" s="42">
        <f>D84</f>
        <v>192.70666399999999</v>
      </c>
      <c r="E88" s="66"/>
    </row>
    <row r="89" spans="1:5" ht="13.5" thickBot="1" x14ac:dyDescent="0.25">
      <c r="A89" s="66"/>
      <c r="B89" s="369" t="s">
        <v>145</v>
      </c>
      <c r="C89" s="370"/>
      <c r="D89" s="52">
        <f>SUM(D88:D88)</f>
        <v>192.70666399999999</v>
      </c>
      <c r="E89" s="66"/>
    </row>
    <row r="90" spans="1:5" ht="13.5" thickBot="1" x14ac:dyDescent="0.25">
      <c r="A90" s="66"/>
      <c r="B90" s="66"/>
      <c r="C90" s="66"/>
      <c r="D90" s="67"/>
      <c r="E90" s="66"/>
    </row>
    <row r="91" spans="1:5" ht="15.75" x14ac:dyDescent="0.25">
      <c r="A91" s="320" t="s">
        <v>171</v>
      </c>
      <c r="B91" s="321"/>
      <c r="C91" s="321"/>
      <c r="D91" s="322"/>
    </row>
    <row r="92" spans="1:5" x14ac:dyDescent="0.2">
      <c r="A92" s="12">
        <v>5</v>
      </c>
      <c r="B92" s="314" t="s">
        <v>18</v>
      </c>
      <c r="C92" s="314"/>
      <c r="D92" s="11" t="s">
        <v>30</v>
      </c>
    </row>
    <row r="93" spans="1:5" x14ac:dyDescent="0.2">
      <c r="A93" s="12" t="s">
        <v>2</v>
      </c>
      <c r="B93" s="323" t="s">
        <v>36</v>
      </c>
      <c r="C93" s="324"/>
      <c r="D93" s="42">
        <f>Uniformes!H35</f>
        <v>0</v>
      </c>
    </row>
    <row r="94" spans="1:5" x14ac:dyDescent="0.2">
      <c r="A94" s="12" t="s">
        <v>3</v>
      </c>
      <c r="B94" s="361" t="s">
        <v>191</v>
      </c>
      <c r="C94" s="324"/>
      <c r="D94" s="77"/>
    </row>
    <row r="95" spans="1:5" x14ac:dyDescent="0.2">
      <c r="A95" s="12" t="s">
        <v>4</v>
      </c>
      <c r="B95" s="324" t="s">
        <v>63</v>
      </c>
      <c r="C95" s="324"/>
      <c r="D95" s="77">
        <f>SUM(((E32+D38)/30)*0.021%)/12</f>
        <v>6.4814814814814824E-4</v>
      </c>
    </row>
    <row r="96" spans="1:5" x14ac:dyDescent="0.2">
      <c r="A96" s="12" t="s">
        <v>6</v>
      </c>
      <c r="B96" s="362" t="s">
        <v>62</v>
      </c>
      <c r="C96" s="362"/>
      <c r="D96" s="168">
        <v>0</v>
      </c>
    </row>
    <row r="97" spans="1:7" ht="13.5" thickBot="1" x14ac:dyDescent="0.25">
      <c r="B97" s="55" t="s">
        <v>59</v>
      </c>
      <c r="C97" s="56"/>
      <c r="D97" s="52">
        <f>SUM(D93:D96)</f>
        <v>6.4814814814814824E-4</v>
      </c>
    </row>
    <row r="98" spans="1:7" ht="13.5" thickBot="1" x14ac:dyDescent="0.25">
      <c r="A98" s="307"/>
      <c r="B98" s="307"/>
      <c r="C98" s="307"/>
      <c r="D98" s="307"/>
      <c r="E98" s="307"/>
    </row>
    <row r="99" spans="1:7" ht="16.5" thickBot="1" x14ac:dyDescent="0.3">
      <c r="A99" s="375" t="s">
        <v>126</v>
      </c>
      <c r="B99" s="376"/>
      <c r="C99" s="376"/>
      <c r="D99" s="376"/>
      <c r="E99" s="377"/>
    </row>
    <row r="100" spans="1:7" x14ac:dyDescent="0.2">
      <c r="A100" s="49">
        <v>6</v>
      </c>
      <c r="B100" s="368" t="s">
        <v>43</v>
      </c>
      <c r="C100" s="368"/>
      <c r="D100" s="50" t="s">
        <v>38</v>
      </c>
      <c r="E100" s="51" t="s">
        <v>30</v>
      </c>
    </row>
    <row r="101" spans="1:7" x14ac:dyDescent="0.2">
      <c r="A101" s="12" t="s">
        <v>2</v>
      </c>
      <c r="B101" s="306" t="s">
        <v>44</v>
      </c>
      <c r="C101" s="306"/>
      <c r="D101" s="59">
        <v>0.05</v>
      </c>
      <c r="E101" s="42">
        <f>D116*D101</f>
        <v>95.973500000000001</v>
      </c>
    </row>
    <row r="102" spans="1:7" x14ac:dyDescent="0.2">
      <c r="A102" s="12" t="s">
        <v>3</v>
      </c>
      <c r="B102" s="308" t="s">
        <v>64</v>
      </c>
      <c r="C102" s="306"/>
      <c r="D102" s="170">
        <v>0.05</v>
      </c>
      <c r="E102" s="19">
        <f>(D116+E101)*D102</f>
        <v>100.772175</v>
      </c>
    </row>
    <row r="103" spans="1:7" x14ac:dyDescent="0.2">
      <c r="A103" s="14" t="s">
        <v>4</v>
      </c>
      <c r="B103" s="308" t="s">
        <v>146</v>
      </c>
      <c r="C103" s="306"/>
      <c r="D103" s="176">
        <f>D104+D105+D106</f>
        <v>0.14250000000000002</v>
      </c>
      <c r="E103" s="175">
        <f>E104+E105+E106</f>
        <v>333.53373543083904</v>
      </c>
    </row>
    <row r="104" spans="1:7" x14ac:dyDescent="0.2">
      <c r="A104" s="14" t="s">
        <v>149</v>
      </c>
      <c r="B104" s="308" t="s">
        <v>147</v>
      </c>
      <c r="C104" s="306"/>
      <c r="D104" s="60">
        <v>1.6500000000000001E-2</v>
      </c>
      <c r="E104" s="19">
        <f>($D$116+$E$101+$E$102)*D104/(1-$D$103)</f>
        <v>40.720185000000008</v>
      </c>
      <c r="G104" s="73"/>
    </row>
    <row r="105" spans="1:7" x14ac:dyDescent="0.2">
      <c r="A105" s="14" t="s">
        <v>150</v>
      </c>
      <c r="B105" s="308" t="s">
        <v>148</v>
      </c>
      <c r="C105" s="306"/>
      <c r="D105" s="60">
        <v>7.5999999999999998E-2</v>
      </c>
      <c r="E105" s="19">
        <f>($D$116+$E$101+$E$102)*D105/(1-$D$103)</f>
        <v>187.55964</v>
      </c>
    </row>
    <row r="106" spans="1:7" x14ac:dyDescent="0.2">
      <c r="A106" s="14" t="s">
        <v>151</v>
      </c>
      <c r="B106" s="367" t="s">
        <v>203</v>
      </c>
      <c r="C106" s="308"/>
      <c r="D106" s="60">
        <v>0.05</v>
      </c>
      <c r="E106" s="19">
        <f>($D$116+$E$101+$E$102-$E$41-$E$48)*D106/(1-$D$103)</f>
        <v>105.25391043083901</v>
      </c>
      <c r="G106" s="45"/>
    </row>
    <row r="107" spans="1:7" ht="13.5" thickBot="1" x14ac:dyDescent="0.25">
      <c r="B107" s="55" t="s">
        <v>45</v>
      </c>
      <c r="C107" s="56"/>
      <c r="D107" s="57">
        <f>D101+D102+D103</f>
        <v>0.24250000000000002</v>
      </c>
      <c r="E107" s="52">
        <f>E101+E102+E104+E105+E106</f>
        <v>530.27941043083899</v>
      </c>
      <c r="G107" s="45"/>
    </row>
    <row r="108" spans="1:7" ht="13.5" thickBot="1" x14ac:dyDescent="0.25">
      <c r="A108" s="354"/>
      <c r="B108" s="354"/>
      <c r="C108" s="354"/>
      <c r="D108" s="354"/>
      <c r="E108" s="354"/>
      <c r="G108" s="45"/>
    </row>
    <row r="109" spans="1:7" ht="15.75" x14ac:dyDescent="0.25">
      <c r="A109" s="320" t="s">
        <v>47</v>
      </c>
      <c r="B109" s="321"/>
      <c r="C109" s="321"/>
      <c r="D109" s="322"/>
      <c r="G109" s="45"/>
    </row>
    <row r="110" spans="1:7" x14ac:dyDescent="0.2">
      <c r="A110" s="12">
        <v>5</v>
      </c>
      <c r="B110" s="314" t="s">
        <v>46</v>
      </c>
      <c r="C110" s="314"/>
      <c r="D110" s="11" t="s">
        <v>30</v>
      </c>
      <c r="G110" s="45"/>
    </row>
    <row r="111" spans="1:7" x14ac:dyDescent="0.2">
      <c r="A111" s="12" t="s">
        <v>2</v>
      </c>
      <c r="B111" s="306" t="s">
        <v>27</v>
      </c>
      <c r="C111" s="306"/>
      <c r="D111" s="42">
        <f>E32</f>
        <v>1000</v>
      </c>
      <c r="G111" s="53"/>
    </row>
    <row r="112" spans="1:7" x14ac:dyDescent="0.2">
      <c r="A112" s="12" t="s">
        <v>3</v>
      </c>
      <c r="B112" s="308" t="s">
        <v>136</v>
      </c>
      <c r="C112" s="306"/>
      <c r="D112" s="19">
        <f>D64</f>
        <v>658</v>
      </c>
      <c r="G112" s="45"/>
    </row>
    <row r="113" spans="1:7" x14ac:dyDescent="0.2">
      <c r="A113" s="12" t="s">
        <v>4</v>
      </c>
      <c r="B113" s="308" t="s">
        <v>122</v>
      </c>
      <c r="C113" s="306"/>
      <c r="D113" s="19">
        <f>D74</f>
        <v>68.762222222222221</v>
      </c>
    </row>
    <row r="114" spans="1:7" x14ac:dyDescent="0.2">
      <c r="A114" s="14" t="s">
        <v>6</v>
      </c>
      <c r="B114" s="308" t="s">
        <v>137</v>
      </c>
      <c r="C114" s="306"/>
      <c r="D114" s="19">
        <f>D89</f>
        <v>192.70666399999999</v>
      </c>
      <c r="G114" s="53"/>
    </row>
    <row r="115" spans="1:7" x14ac:dyDescent="0.2">
      <c r="A115" s="89" t="s">
        <v>7</v>
      </c>
      <c r="B115" s="308" t="s">
        <v>160</v>
      </c>
      <c r="C115" s="308"/>
      <c r="D115" s="88">
        <f>D97</f>
        <v>6.4814814814814824E-4</v>
      </c>
    </row>
    <row r="116" spans="1:7" x14ac:dyDescent="0.2">
      <c r="A116" s="372" t="s">
        <v>163</v>
      </c>
      <c r="B116" s="373"/>
      <c r="C116" s="374"/>
      <c r="D116" s="58">
        <f>ROUND(SUM(D111:D115),2)</f>
        <v>1919.47</v>
      </c>
    </row>
    <row r="117" spans="1:7" ht="13.5" thickBot="1" x14ac:dyDescent="0.25">
      <c r="A117" s="23" t="s">
        <v>8</v>
      </c>
      <c r="B117" s="319" t="s">
        <v>126</v>
      </c>
      <c r="C117" s="319"/>
      <c r="D117" s="20">
        <f>ROUND(E107,2)</f>
        <v>530.28</v>
      </c>
      <c r="G117" s="54"/>
    </row>
    <row r="118" spans="1:7" ht="13.5" thickBot="1" x14ac:dyDescent="0.25">
      <c r="B118" s="365" t="s">
        <v>49</v>
      </c>
      <c r="C118" s="366"/>
      <c r="D118" s="52">
        <f>ROUND((D116+D117),2)</f>
        <v>2449.75</v>
      </c>
      <c r="E118" s="45"/>
    </row>
    <row r="119" spans="1:7" ht="13.5" thickBot="1" x14ac:dyDescent="0.25">
      <c r="A119" s="354"/>
      <c r="B119" s="354"/>
      <c r="C119" s="354"/>
      <c r="D119" s="354"/>
      <c r="E119" s="354"/>
    </row>
    <row r="120" spans="1:7" ht="15.75" x14ac:dyDescent="0.25">
      <c r="A120" s="320" t="s">
        <v>58</v>
      </c>
      <c r="B120" s="321"/>
      <c r="C120" s="321"/>
      <c r="D120" s="322"/>
    </row>
    <row r="121" spans="1:7" x14ac:dyDescent="0.2">
      <c r="A121" s="12">
        <v>5</v>
      </c>
      <c r="B121" s="314" t="s">
        <v>46</v>
      </c>
      <c r="C121" s="314"/>
      <c r="D121" s="11" t="s">
        <v>30</v>
      </c>
    </row>
    <row r="122" spans="1:7" x14ac:dyDescent="0.2">
      <c r="A122" s="12" t="s">
        <v>2</v>
      </c>
      <c r="B122" s="306" t="s">
        <v>27</v>
      </c>
      <c r="C122" s="306"/>
      <c r="D122" s="42">
        <f>D111*TOTAIS!F22</f>
        <v>17000</v>
      </c>
    </row>
    <row r="123" spans="1:7" x14ac:dyDescent="0.2">
      <c r="A123" s="12" t="s">
        <v>3</v>
      </c>
      <c r="B123" s="306" t="s">
        <v>33</v>
      </c>
      <c r="C123" s="306"/>
      <c r="D123" s="19">
        <f>D112*TOTAIS!F22</f>
        <v>11186</v>
      </c>
    </row>
    <row r="124" spans="1:7" x14ac:dyDescent="0.2">
      <c r="A124" s="12" t="s">
        <v>4</v>
      </c>
      <c r="B124" s="306" t="s">
        <v>35</v>
      </c>
      <c r="C124" s="306"/>
      <c r="D124" s="19">
        <f>D113*TOTAIS!F22</f>
        <v>1168.9577777777777</v>
      </c>
    </row>
    <row r="125" spans="1:7" x14ac:dyDescent="0.2">
      <c r="A125" s="14" t="s">
        <v>6</v>
      </c>
      <c r="B125" s="306" t="s">
        <v>48</v>
      </c>
      <c r="C125" s="306"/>
      <c r="D125" s="19">
        <f>D114*TOTAIS!F22</f>
        <v>3276.0132879999996</v>
      </c>
    </row>
    <row r="126" spans="1:7" x14ac:dyDescent="0.2">
      <c r="A126" s="89" t="s">
        <v>7</v>
      </c>
      <c r="B126" s="308" t="s">
        <v>160</v>
      </c>
      <c r="C126" s="308"/>
      <c r="D126" s="19">
        <f>D115*TOTAIS!F22</f>
        <v>1.101851851851852E-2</v>
      </c>
    </row>
    <row r="127" spans="1:7" x14ac:dyDescent="0.2">
      <c r="A127" s="372" t="s">
        <v>57</v>
      </c>
      <c r="B127" s="373"/>
      <c r="C127" s="374"/>
      <c r="D127" s="58">
        <f>SUM(D122:D126)</f>
        <v>32630.982084296294</v>
      </c>
    </row>
    <row r="128" spans="1:7" ht="13.5" thickBot="1" x14ac:dyDescent="0.25">
      <c r="A128" s="23" t="s">
        <v>8</v>
      </c>
      <c r="B128" s="319" t="s">
        <v>126</v>
      </c>
      <c r="C128" s="319"/>
      <c r="D128" s="20">
        <f>D117*TOTAIS!F22</f>
        <v>9014.76</v>
      </c>
    </row>
    <row r="129" spans="2:4" ht="13.5" thickBot="1" x14ac:dyDescent="0.25">
      <c r="B129" s="365" t="s">
        <v>55</v>
      </c>
      <c r="C129" s="366"/>
      <c r="D129" s="52">
        <f>D127+D128</f>
        <v>41645.742084296297</v>
      </c>
    </row>
  </sheetData>
  <mergeCells count="121">
    <mergeCell ref="B73:C73"/>
    <mergeCell ref="B29:C29"/>
    <mergeCell ref="A75:E75"/>
    <mergeCell ref="B80:C80"/>
    <mergeCell ref="B81:C81"/>
    <mergeCell ref="B82:C82"/>
    <mergeCell ref="A86:D86"/>
    <mergeCell ref="B87:C87"/>
    <mergeCell ref="A66:D66"/>
    <mergeCell ref="B60:C60"/>
    <mergeCell ref="B61:C61"/>
    <mergeCell ref="B72:C72"/>
    <mergeCell ref="B62:C62"/>
    <mergeCell ref="B63:C63"/>
    <mergeCell ref="B67:C67"/>
    <mergeCell ref="B64:C64"/>
    <mergeCell ref="B68:C68"/>
    <mergeCell ref="B70:C70"/>
    <mergeCell ref="B71:C71"/>
    <mergeCell ref="A33:E33"/>
    <mergeCell ref="B35:C35"/>
    <mergeCell ref="A76:D76"/>
    <mergeCell ref="B77:C77"/>
    <mergeCell ref="B78:C78"/>
    <mergeCell ref="B79:C79"/>
    <mergeCell ref="B129:C129"/>
    <mergeCell ref="B123:C123"/>
    <mergeCell ref="B124:C124"/>
    <mergeCell ref="B125:C125"/>
    <mergeCell ref="B128:C128"/>
    <mergeCell ref="A120:D120"/>
    <mergeCell ref="B121:C121"/>
    <mergeCell ref="B122:C122"/>
    <mergeCell ref="B110:C110"/>
    <mergeCell ref="A127:C127"/>
    <mergeCell ref="B117:C117"/>
    <mergeCell ref="A119:E119"/>
    <mergeCell ref="B114:C114"/>
    <mergeCell ref="A116:C116"/>
    <mergeCell ref="B102:C102"/>
    <mergeCell ref="A99:E99"/>
    <mergeCell ref="A98:E98"/>
    <mergeCell ref="B32:D32"/>
    <mergeCell ref="B94:C94"/>
    <mergeCell ref="B83:C83"/>
    <mergeCell ref="B96:C96"/>
    <mergeCell ref="B88:C88"/>
    <mergeCell ref="B118:C118"/>
    <mergeCell ref="B111:C111"/>
    <mergeCell ref="B113:C113"/>
    <mergeCell ref="B93:C93"/>
    <mergeCell ref="B112:C112"/>
    <mergeCell ref="B101:C101"/>
    <mergeCell ref="B106:C106"/>
    <mergeCell ref="A109:D109"/>
    <mergeCell ref="B105:C105"/>
    <mergeCell ref="B100:C100"/>
    <mergeCell ref="B103:C103"/>
    <mergeCell ref="A108:E108"/>
    <mergeCell ref="B104:C104"/>
    <mergeCell ref="A91:D91"/>
    <mergeCell ref="B95:C95"/>
    <mergeCell ref="B92:C92"/>
    <mergeCell ref="B89:C89"/>
    <mergeCell ref="B69:C69"/>
    <mergeCell ref="B74:C74"/>
    <mergeCell ref="B57:C57"/>
    <mergeCell ref="B54:C54"/>
    <mergeCell ref="B42:C42"/>
    <mergeCell ref="B43:C43"/>
    <mergeCell ref="B44:C44"/>
    <mergeCell ref="B45:C45"/>
    <mergeCell ref="B46:C46"/>
    <mergeCell ref="B51:C51"/>
    <mergeCell ref="B52:C52"/>
    <mergeCell ref="B53:C53"/>
    <mergeCell ref="B55:C55"/>
    <mergeCell ref="B37:C37"/>
    <mergeCell ref="B40:C40"/>
    <mergeCell ref="B49:C49"/>
    <mergeCell ref="B41:C41"/>
    <mergeCell ref="A39:E39"/>
    <mergeCell ref="B38:C38"/>
    <mergeCell ref="B47:C47"/>
    <mergeCell ref="B56:C56"/>
    <mergeCell ref="B48:C48"/>
    <mergeCell ref="A5:C5"/>
    <mergeCell ref="A10:D10"/>
    <mergeCell ref="A15:E15"/>
    <mergeCell ref="B14:C14"/>
    <mergeCell ref="A6:C6"/>
    <mergeCell ref="A1:E1"/>
    <mergeCell ref="A2:E2"/>
    <mergeCell ref="A3:E3"/>
    <mergeCell ref="A4:D4"/>
    <mergeCell ref="A7:C7"/>
    <mergeCell ref="B13:C13"/>
    <mergeCell ref="B28:C28"/>
    <mergeCell ref="A21:E21"/>
    <mergeCell ref="B115:C115"/>
    <mergeCell ref="B126:C126"/>
    <mergeCell ref="A8:C8"/>
    <mergeCell ref="A9:E9"/>
    <mergeCell ref="B11:C11"/>
    <mergeCell ref="B23:C23"/>
    <mergeCell ref="A22:E22"/>
    <mergeCell ref="B12:C12"/>
    <mergeCell ref="B27:C27"/>
    <mergeCell ref="B31:C31"/>
    <mergeCell ref="B20:C20"/>
    <mergeCell ref="B25:C25"/>
    <mergeCell ref="B26:C26"/>
    <mergeCell ref="B17:C17"/>
    <mergeCell ref="A34:D34"/>
    <mergeCell ref="B30:C30"/>
    <mergeCell ref="B24:C24"/>
    <mergeCell ref="B18:C18"/>
    <mergeCell ref="B36:C36"/>
    <mergeCell ref="B19:C19"/>
    <mergeCell ref="A16:D16"/>
    <mergeCell ref="A59:D59"/>
  </mergeCells>
  <phoneticPr fontId="6" type="noConversion"/>
  <pageMargins left="1.1811023622047245" right="0.39370078740157483" top="0.78740157480314965" bottom="0.78740157480314965" header="0.51181102362204722" footer="0.51181102362204722"/>
  <pageSetup paperSize="9" scale="73" fitToHeight="0" orientation="portrait" r:id="rId1"/>
  <headerFooter alignWithMargins="0">
    <oddHeader>&amp;L&amp;F&amp;R&amp;D</oddHeader>
    <oddFooter>&amp;L&amp;A&amp;RPágina &amp;P de &amp;N.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G129"/>
  <sheetViews>
    <sheetView showGridLines="0" topLeftCell="A13" workbookViewId="0">
      <selection activeCell="B72" sqref="B72:C72"/>
    </sheetView>
  </sheetViews>
  <sheetFormatPr defaultRowHeight="12.75" x14ac:dyDescent="0.2"/>
  <cols>
    <col min="1" max="1" width="3.7109375" style="24" customWidth="1"/>
    <col min="2" max="2" width="24.7109375" style="16" customWidth="1"/>
    <col min="3" max="3" width="28.7109375" style="16" customWidth="1"/>
    <col min="4" max="4" width="32.85546875" style="16" bestFit="1" customWidth="1"/>
    <col min="5" max="5" width="28.7109375" style="16" customWidth="1"/>
    <col min="6" max="6" width="9.140625" style="16"/>
    <col min="7" max="7" width="12.28515625" style="16" bestFit="1" customWidth="1"/>
    <col min="8" max="8" width="12.140625" style="16" bestFit="1" customWidth="1"/>
    <col min="9" max="10" width="10.5703125" style="16" bestFit="1" customWidth="1"/>
    <col min="11" max="11" width="9.5703125" style="16" bestFit="1" customWidth="1"/>
    <col min="12" max="16384" width="9.140625" style="16"/>
  </cols>
  <sheetData>
    <row r="1" spans="1:5" ht="20.25" x14ac:dyDescent="0.3">
      <c r="A1" s="336" t="s">
        <v>0</v>
      </c>
      <c r="B1" s="337"/>
      <c r="C1" s="337"/>
      <c r="D1" s="337"/>
      <c r="E1" s="338"/>
    </row>
    <row r="2" spans="1:5" ht="20.25" x14ac:dyDescent="0.3">
      <c r="A2" s="339" t="str">
        <f>TOTAIS!A6</f>
        <v>FORNECEDOR</v>
      </c>
      <c r="B2" s="340"/>
      <c r="C2" s="340"/>
      <c r="D2" s="340"/>
      <c r="E2" s="341"/>
    </row>
    <row r="3" spans="1:5" ht="21" thickBot="1" x14ac:dyDescent="0.35">
      <c r="A3" s="342" t="str">
        <f>D19</f>
        <v>Auxiliar de Arquivo - 44 horas semanais (Segunda a Sexta)</v>
      </c>
      <c r="B3" s="343"/>
      <c r="C3" s="343"/>
      <c r="D3" s="343"/>
      <c r="E3" s="344"/>
    </row>
    <row r="4" spans="1:5" ht="13.5" thickBot="1" x14ac:dyDescent="0.25">
      <c r="A4" s="292"/>
      <c r="B4" s="292"/>
      <c r="C4" s="292"/>
      <c r="D4" s="292"/>
      <c r="E4" s="25"/>
    </row>
    <row r="5" spans="1:5" x14ac:dyDescent="0.2">
      <c r="A5" s="327" t="s">
        <v>1</v>
      </c>
      <c r="B5" s="328"/>
      <c r="C5" s="328"/>
      <c r="D5" s="26" t="str">
        <f>TOTAIS!D9</f>
        <v>23759.020964/2019-25</v>
      </c>
      <c r="E5" s="27"/>
    </row>
    <row r="6" spans="1:5" x14ac:dyDescent="0.2">
      <c r="A6" s="334" t="s">
        <v>19</v>
      </c>
      <c r="B6" s="335"/>
      <c r="C6" s="335"/>
      <c r="D6" s="28" t="str">
        <f>TOTAIS!D10</f>
        <v>Pregão nº ___/20XX</v>
      </c>
      <c r="E6" s="27"/>
    </row>
    <row r="7" spans="1:5" x14ac:dyDescent="0.2">
      <c r="A7" s="345" t="s">
        <v>61</v>
      </c>
      <c r="B7" s="346"/>
      <c r="C7" s="346"/>
      <c r="D7" s="28" t="str">
        <f>TOTAIS!E9</f>
        <v>Lucro Real</v>
      </c>
      <c r="E7" s="27"/>
    </row>
    <row r="8" spans="1:5" ht="13.5" thickBot="1" x14ac:dyDescent="0.25">
      <c r="A8" s="309" t="s">
        <v>56</v>
      </c>
      <c r="B8" s="310"/>
      <c r="C8" s="310"/>
      <c r="D8" s="29">
        <f>TOTAIS!E23</f>
        <v>19</v>
      </c>
      <c r="E8" s="27"/>
    </row>
    <row r="9" spans="1:5" ht="13.5" thickBot="1" x14ac:dyDescent="0.25">
      <c r="A9" s="311"/>
      <c r="B9" s="311"/>
      <c r="C9" s="311"/>
      <c r="D9" s="311"/>
      <c r="E9" s="311"/>
    </row>
    <row r="10" spans="1:5" ht="15.75" x14ac:dyDescent="0.25">
      <c r="A10" s="329" t="s">
        <v>20</v>
      </c>
      <c r="B10" s="330"/>
      <c r="C10" s="330"/>
      <c r="D10" s="331"/>
      <c r="E10" s="27"/>
    </row>
    <row r="11" spans="1:5" x14ac:dyDescent="0.2">
      <c r="A11" s="30" t="s">
        <v>2</v>
      </c>
      <c r="B11" s="312" t="s">
        <v>52</v>
      </c>
      <c r="C11" s="313"/>
      <c r="D11" s="31" t="str">
        <f>TOTAIS!D12</f>
        <v>__/__/20__</v>
      </c>
      <c r="E11" s="27"/>
    </row>
    <row r="12" spans="1:5" x14ac:dyDescent="0.2">
      <c r="A12" s="30" t="s">
        <v>3</v>
      </c>
      <c r="B12" s="312" t="s">
        <v>50</v>
      </c>
      <c r="C12" s="313"/>
      <c r="D12" s="32" t="str">
        <f>TOTAIS!D16</f>
        <v>Curitiba/PR</v>
      </c>
      <c r="E12" s="27"/>
    </row>
    <row r="13" spans="1:5" x14ac:dyDescent="0.2">
      <c r="A13" s="30" t="s">
        <v>4</v>
      </c>
      <c r="B13" s="312" t="s">
        <v>5</v>
      </c>
      <c r="C13" s="313"/>
      <c r="D13" s="33" t="str">
        <f>TOTAIS!D17</f>
        <v>CCT 2019/2020</v>
      </c>
      <c r="E13" s="27"/>
    </row>
    <row r="14" spans="1:5" ht="13.5" thickBot="1" x14ac:dyDescent="0.25">
      <c r="A14" s="34" t="s">
        <v>6</v>
      </c>
      <c r="B14" s="332" t="s">
        <v>53</v>
      </c>
      <c r="C14" s="333"/>
      <c r="D14" s="35">
        <f>TOTAIS!D18</f>
        <v>12</v>
      </c>
      <c r="E14" s="27"/>
    </row>
    <row r="15" spans="1:5" ht="13.5" thickBot="1" x14ac:dyDescent="0.25">
      <c r="A15" s="311"/>
      <c r="B15" s="311"/>
      <c r="C15" s="311"/>
      <c r="D15" s="311"/>
      <c r="E15" s="311"/>
    </row>
    <row r="16" spans="1:5" ht="15.75" x14ac:dyDescent="0.25">
      <c r="A16" s="347" t="s">
        <v>24</v>
      </c>
      <c r="B16" s="348"/>
      <c r="C16" s="348"/>
      <c r="D16" s="349"/>
    </row>
    <row r="17" spans="1:5" x14ac:dyDescent="0.2">
      <c r="A17" s="12">
        <v>1</v>
      </c>
      <c r="B17" s="306" t="s">
        <v>22</v>
      </c>
      <c r="C17" s="306"/>
      <c r="D17" s="36" t="s">
        <v>156</v>
      </c>
    </row>
    <row r="18" spans="1:5" x14ac:dyDescent="0.2">
      <c r="A18" s="12">
        <v>2</v>
      </c>
      <c r="B18" s="306" t="s">
        <v>25</v>
      </c>
      <c r="C18" s="306"/>
      <c r="D18" s="102">
        <f>TOTAIS!H23</f>
        <v>1000</v>
      </c>
    </row>
    <row r="19" spans="1:5" x14ac:dyDescent="0.2">
      <c r="A19" s="12">
        <v>3</v>
      </c>
      <c r="B19" s="306" t="s">
        <v>26</v>
      </c>
      <c r="C19" s="306"/>
      <c r="D19" s="123" t="str">
        <f>TOTAIS!A23</f>
        <v>Auxiliar de Arquivo - 44 horas semanais (Segunda a Sexta)</v>
      </c>
    </row>
    <row r="20" spans="1:5" ht="13.5" thickBot="1" x14ac:dyDescent="0.25">
      <c r="A20" s="38">
        <v>4</v>
      </c>
      <c r="B20" s="319" t="s">
        <v>51</v>
      </c>
      <c r="C20" s="319"/>
      <c r="D20" s="39" t="str">
        <f>TOTAIS!F16</f>
        <v>Validade CCT</v>
      </c>
    </row>
    <row r="21" spans="1:5" ht="13.5" thickBot="1" x14ac:dyDescent="0.25">
      <c r="A21" s="307"/>
      <c r="B21" s="307"/>
      <c r="C21" s="307"/>
      <c r="D21" s="307"/>
      <c r="E21" s="307"/>
    </row>
    <row r="22" spans="1:5" ht="15.75" x14ac:dyDescent="0.25">
      <c r="A22" s="315" t="s">
        <v>27</v>
      </c>
      <c r="B22" s="316"/>
      <c r="C22" s="316"/>
      <c r="D22" s="316"/>
      <c r="E22" s="317"/>
    </row>
    <row r="23" spans="1:5" x14ac:dyDescent="0.2">
      <c r="A23" s="12">
        <v>1</v>
      </c>
      <c r="B23" s="314" t="s">
        <v>28</v>
      </c>
      <c r="C23" s="314"/>
      <c r="D23" s="40" t="s">
        <v>29</v>
      </c>
      <c r="E23" s="11" t="s">
        <v>30</v>
      </c>
    </row>
    <row r="24" spans="1:5" x14ac:dyDescent="0.2">
      <c r="A24" s="12" t="s">
        <v>2</v>
      </c>
      <c r="B24" s="306" t="s">
        <v>31</v>
      </c>
      <c r="C24" s="306"/>
      <c r="D24" s="41"/>
      <c r="E24" s="42">
        <f>TOTAIS!H23</f>
        <v>1000</v>
      </c>
    </row>
    <row r="25" spans="1:5" x14ac:dyDescent="0.2">
      <c r="A25" s="12" t="s">
        <v>3</v>
      </c>
      <c r="B25" s="306" t="s">
        <v>10</v>
      </c>
      <c r="C25" s="306"/>
      <c r="D25" s="69">
        <f>Matriz!F8</f>
        <v>0</v>
      </c>
      <c r="E25" s="19">
        <f>E24*D25</f>
        <v>0</v>
      </c>
    </row>
    <row r="26" spans="1:5" x14ac:dyDescent="0.2">
      <c r="A26" s="12" t="s">
        <v>4</v>
      </c>
      <c r="B26" s="306" t="s">
        <v>11</v>
      </c>
      <c r="C26" s="306"/>
      <c r="D26" s="69">
        <f>Matriz!G8</f>
        <v>0</v>
      </c>
      <c r="E26" s="19">
        <f>D26*TOTAIS!F48</f>
        <v>0</v>
      </c>
    </row>
    <row r="27" spans="1:5" x14ac:dyDescent="0.2">
      <c r="A27" s="14" t="s">
        <v>7</v>
      </c>
      <c r="B27" s="306" t="s">
        <v>32</v>
      </c>
      <c r="C27" s="306"/>
      <c r="D27" s="69">
        <f>Matriz!H8</f>
        <v>0</v>
      </c>
      <c r="E27" s="19">
        <f>(((((SUM(E24:E26)/220)*D27)*7)*7)*4.35)/2</f>
        <v>0</v>
      </c>
    </row>
    <row r="28" spans="1:5" x14ac:dyDescent="0.2">
      <c r="A28" s="14" t="s">
        <v>8</v>
      </c>
      <c r="B28" s="306" t="s">
        <v>196</v>
      </c>
      <c r="C28" s="306"/>
      <c r="D28" s="41">
        <v>0</v>
      </c>
      <c r="E28" s="19">
        <f>IF(E27&lt;&gt; 0,((((((SUM(E24:E26)/220)*D27)+(SUM(E24:E26)/220))*0.875)*7)*4.35)/2,0)</f>
        <v>0</v>
      </c>
    </row>
    <row r="29" spans="1:5" x14ac:dyDescent="0.2">
      <c r="A29" s="172" t="s">
        <v>9</v>
      </c>
      <c r="B29" s="325" t="s">
        <v>198</v>
      </c>
      <c r="C29" s="326"/>
      <c r="D29" s="173">
        <v>0</v>
      </c>
      <c r="E29" s="19">
        <v>0</v>
      </c>
    </row>
    <row r="30" spans="1:5" ht="13.5" thickBot="1" x14ac:dyDescent="0.25">
      <c r="A30" s="23" t="s">
        <v>9</v>
      </c>
      <c r="B30" s="323" t="s">
        <v>131</v>
      </c>
      <c r="C30" s="324"/>
      <c r="D30" s="43">
        <v>0</v>
      </c>
      <c r="E30" s="19">
        <f>IF(CCT!I8="SIM",(E24+E25+E26)*((((11*71.429%)+3)/365.25)*100)%*50%*100%,0)</f>
        <v>0</v>
      </c>
    </row>
    <row r="31" spans="1:5" ht="13.5" thickBot="1" x14ac:dyDescent="0.25">
      <c r="A31" s="23" t="s">
        <v>13</v>
      </c>
      <c r="B31" s="318" t="s">
        <v>62</v>
      </c>
      <c r="C31" s="318"/>
      <c r="D31" s="171">
        <v>0</v>
      </c>
      <c r="E31" s="112">
        <f>D31*E24</f>
        <v>0</v>
      </c>
    </row>
    <row r="32" spans="1:5" ht="13.5" thickBot="1" x14ac:dyDescent="0.25">
      <c r="B32" s="359" t="s">
        <v>138</v>
      </c>
      <c r="C32" s="360"/>
      <c r="D32" s="360"/>
      <c r="E32" s="44">
        <f>SUM(E24:E31)</f>
        <v>1000</v>
      </c>
    </row>
    <row r="33" spans="1:5" ht="13.5" thickBot="1" x14ac:dyDescent="0.25">
      <c r="A33" s="354"/>
      <c r="B33" s="354"/>
      <c r="C33" s="354"/>
      <c r="D33" s="354"/>
      <c r="E33" s="354"/>
    </row>
    <row r="34" spans="1:5" ht="15.75" x14ac:dyDescent="0.25">
      <c r="A34" s="320" t="s">
        <v>128</v>
      </c>
      <c r="B34" s="321"/>
      <c r="C34" s="321"/>
      <c r="D34" s="322"/>
    </row>
    <row r="35" spans="1:5" x14ac:dyDescent="0.2">
      <c r="A35" s="12" t="s">
        <v>115</v>
      </c>
      <c r="B35" s="350" t="s">
        <v>157</v>
      </c>
      <c r="C35" s="351"/>
      <c r="D35" s="11" t="s">
        <v>30</v>
      </c>
    </row>
    <row r="36" spans="1:5" x14ac:dyDescent="0.2">
      <c r="A36" s="12" t="s">
        <v>2</v>
      </c>
      <c r="B36" s="325" t="s">
        <v>180</v>
      </c>
      <c r="C36" s="326"/>
      <c r="D36" s="42">
        <f>E32/12</f>
        <v>83.333333333333329</v>
      </c>
    </row>
    <row r="37" spans="1:5" ht="13.5" thickBot="1" x14ac:dyDescent="0.25">
      <c r="A37" s="12" t="s">
        <v>3</v>
      </c>
      <c r="B37" s="325" t="s">
        <v>181</v>
      </c>
      <c r="C37" s="326"/>
      <c r="D37" s="19">
        <f>E32*1/3/12</f>
        <v>27.777777777777775</v>
      </c>
      <c r="E37" s="113"/>
    </row>
    <row r="38" spans="1:5" ht="13.5" thickBot="1" x14ac:dyDescent="0.25">
      <c r="B38" s="355" t="s">
        <v>37</v>
      </c>
      <c r="C38" s="356"/>
      <c r="D38" s="44">
        <f>SUM(D36:D37)</f>
        <v>111.1111111111111</v>
      </c>
    </row>
    <row r="39" spans="1:5" x14ac:dyDescent="0.2">
      <c r="A39" s="354"/>
      <c r="B39" s="354"/>
      <c r="C39" s="354"/>
      <c r="D39" s="354"/>
      <c r="E39" s="354"/>
    </row>
    <row r="40" spans="1:5" x14ac:dyDescent="0.2">
      <c r="A40" s="12" t="s">
        <v>116</v>
      </c>
      <c r="B40" s="350" t="s">
        <v>127</v>
      </c>
      <c r="C40" s="351"/>
      <c r="D40" s="11" t="s">
        <v>38</v>
      </c>
      <c r="E40" s="11" t="s">
        <v>30</v>
      </c>
    </row>
    <row r="41" spans="1:5" x14ac:dyDescent="0.2">
      <c r="A41" s="12" t="s">
        <v>2</v>
      </c>
      <c r="B41" s="306" t="s">
        <v>54</v>
      </c>
      <c r="C41" s="306"/>
      <c r="D41" s="46">
        <v>0.2</v>
      </c>
      <c r="E41" s="47">
        <f>($E$32+$D$38)*D41</f>
        <v>222.22222222222223</v>
      </c>
    </row>
    <row r="42" spans="1:5" x14ac:dyDescent="0.2">
      <c r="A42" s="12" t="s">
        <v>3</v>
      </c>
      <c r="B42" s="306" t="s">
        <v>17</v>
      </c>
      <c r="C42" s="306"/>
      <c r="D42" s="46">
        <v>2.5000000000000001E-2</v>
      </c>
      <c r="E42" s="47">
        <f t="shared" ref="E42:E48" si="0">($E$32+$D$38)*D42</f>
        <v>27.777777777777779</v>
      </c>
    </row>
    <row r="43" spans="1:5" x14ac:dyDescent="0.2">
      <c r="A43" s="12" t="s">
        <v>4</v>
      </c>
      <c r="B43" s="306" t="s">
        <v>182</v>
      </c>
      <c r="C43" s="306"/>
      <c r="D43" s="170">
        <v>0.03</v>
      </c>
      <c r="E43" s="47">
        <f t="shared" si="0"/>
        <v>33.333333333333329</v>
      </c>
    </row>
    <row r="44" spans="1:5" x14ac:dyDescent="0.2">
      <c r="A44" s="12" t="s">
        <v>6</v>
      </c>
      <c r="B44" s="306" t="s">
        <v>117</v>
      </c>
      <c r="C44" s="306"/>
      <c r="D44" s="46">
        <v>1.4999999999999999E-2</v>
      </c>
      <c r="E44" s="47">
        <f t="shared" si="0"/>
        <v>16.666666666666664</v>
      </c>
    </row>
    <row r="45" spans="1:5" x14ac:dyDescent="0.2">
      <c r="A45" s="14" t="s">
        <v>7</v>
      </c>
      <c r="B45" s="306" t="s">
        <v>118</v>
      </c>
      <c r="C45" s="306"/>
      <c r="D45" s="46">
        <v>0.01</v>
      </c>
      <c r="E45" s="47">
        <f t="shared" si="0"/>
        <v>11.111111111111111</v>
      </c>
    </row>
    <row r="46" spans="1:5" x14ac:dyDescent="0.2">
      <c r="A46" s="14" t="s">
        <v>8</v>
      </c>
      <c r="B46" s="306" t="s">
        <v>16</v>
      </c>
      <c r="C46" s="306"/>
      <c r="D46" s="46">
        <v>6.0000000000000001E-3</v>
      </c>
      <c r="E46" s="47">
        <f t="shared" si="0"/>
        <v>6.666666666666667</v>
      </c>
    </row>
    <row r="47" spans="1:5" ht="13.5" thickBot="1" x14ac:dyDescent="0.25">
      <c r="A47" s="23" t="s">
        <v>9</v>
      </c>
      <c r="B47" s="306" t="s">
        <v>15</v>
      </c>
      <c r="C47" s="306"/>
      <c r="D47" s="46">
        <v>2E-3</v>
      </c>
      <c r="E47" s="47">
        <f t="shared" si="0"/>
        <v>2.2222222222222223</v>
      </c>
    </row>
    <row r="48" spans="1:5" ht="13.5" thickBot="1" x14ac:dyDescent="0.25">
      <c r="A48" s="12" t="s">
        <v>13</v>
      </c>
      <c r="B48" s="319" t="s">
        <v>14</v>
      </c>
      <c r="C48" s="319"/>
      <c r="D48" s="48">
        <v>0.08</v>
      </c>
      <c r="E48" s="47">
        <f t="shared" si="0"/>
        <v>88.888888888888886</v>
      </c>
    </row>
    <row r="49" spans="1:5" ht="13.5" thickBot="1" x14ac:dyDescent="0.25">
      <c r="B49" s="352" t="s">
        <v>139</v>
      </c>
      <c r="C49" s="353"/>
      <c r="D49" s="84">
        <f>SUM(D41:D48)</f>
        <v>0.36800000000000005</v>
      </c>
      <c r="E49" s="65">
        <f>SUM(E41:E48)</f>
        <v>408.88888888888891</v>
      </c>
    </row>
    <row r="50" spans="1:5" x14ac:dyDescent="0.2">
      <c r="B50" s="24"/>
      <c r="C50" s="24"/>
      <c r="D50" s="24"/>
      <c r="E50" s="24"/>
    </row>
    <row r="51" spans="1:5" x14ac:dyDescent="0.2">
      <c r="A51" s="12" t="s">
        <v>119</v>
      </c>
      <c r="B51" s="350" t="s">
        <v>34</v>
      </c>
      <c r="C51" s="351"/>
      <c r="D51" s="11" t="s">
        <v>30</v>
      </c>
      <c r="E51" s="24"/>
    </row>
    <row r="52" spans="1:5" x14ac:dyDescent="0.2">
      <c r="A52" s="12" t="s">
        <v>2</v>
      </c>
      <c r="B52" s="325" t="s">
        <v>120</v>
      </c>
      <c r="C52" s="326"/>
      <c r="D52" s="42">
        <f>Matriz!E20</f>
        <v>138</v>
      </c>
      <c r="E52" s="24"/>
    </row>
    <row r="53" spans="1:5" x14ac:dyDescent="0.2">
      <c r="A53" s="12" t="s">
        <v>3</v>
      </c>
      <c r="B53" s="325" t="s">
        <v>121</v>
      </c>
      <c r="C53" s="326"/>
      <c r="D53" s="19">
        <f>CCT!E8</f>
        <v>0</v>
      </c>
      <c r="E53" s="24"/>
    </row>
    <row r="54" spans="1:5" x14ac:dyDescent="0.2">
      <c r="A54" s="18" t="s">
        <v>4</v>
      </c>
      <c r="B54" s="306" t="str">
        <f>CCT!F6</f>
        <v>Auxílio Saúde</v>
      </c>
      <c r="C54" s="306"/>
      <c r="D54" s="72">
        <f>CCT!F8</f>
        <v>0</v>
      </c>
      <c r="E54" s="24"/>
    </row>
    <row r="55" spans="1:5" x14ac:dyDescent="0.2">
      <c r="A55" s="18" t="s">
        <v>6</v>
      </c>
      <c r="B55" s="306" t="str">
        <f>CCT!G6</f>
        <v>Beneficio CCT</v>
      </c>
      <c r="C55" s="306"/>
      <c r="D55" s="72">
        <f>CCT!G8</f>
        <v>0</v>
      </c>
      <c r="E55" s="24"/>
    </row>
    <row r="56" spans="1:5" x14ac:dyDescent="0.2">
      <c r="A56" s="18" t="s">
        <v>7</v>
      </c>
      <c r="B56" s="325" t="str">
        <f>CCT!H6</f>
        <v>Beneficio CCT</v>
      </c>
      <c r="C56" s="326"/>
      <c r="D56" s="72">
        <f>CCT!H8</f>
        <v>0</v>
      </c>
      <c r="E56" s="24"/>
    </row>
    <row r="57" spans="1:5" ht="13.5" thickBot="1" x14ac:dyDescent="0.25">
      <c r="B57" s="357" t="s">
        <v>140</v>
      </c>
      <c r="C57" s="358"/>
      <c r="D57" s="52">
        <f>SUM(D52:D56)</f>
        <v>138</v>
      </c>
      <c r="E57" s="24"/>
    </row>
    <row r="58" spans="1:5" ht="13.5" thickBot="1" x14ac:dyDescent="0.25">
      <c r="B58" s="24"/>
      <c r="C58" s="24"/>
      <c r="D58" s="24"/>
      <c r="E58" s="24"/>
    </row>
    <row r="59" spans="1:5" ht="16.5" thickBot="1" x14ac:dyDescent="0.3">
      <c r="A59" s="320" t="s">
        <v>129</v>
      </c>
      <c r="B59" s="321"/>
      <c r="C59" s="321"/>
      <c r="D59" s="322"/>
      <c r="E59" s="24"/>
    </row>
    <row r="60" spans="1:5" x14ac:dyDescent="0.2">
      <c r="A60" s="49">
        <v>2</v>
      </c>
      <c r="B60" s="368" t="s">
        <v>141</v>
      </c>
      <c r="C60" s="368"/>
      <c r="D60" s="51" t="s">
        <v>30</v>
      </c>
      <c r="E60" s="24"/>
    </row>
    <row r="61" spans="1:5" x14ac:dyDescent="0.2">
      <c r="A61" s="12" t="s">
        <v>115</v>
      </c>
      <c r="B61" s="306" t="str">
        <f>B35</f>
        <v>13º Salário e Adicional de Férias</v>
      </c>
      <c r="C61" s="306"/>
      <c r="D61" s="42">
        <f>D38</f>
        <v>111.1111111111111</v>
      </c>
      <c r="E61" s="24"/>
    </row>
    <row r="62" spans="1:5" x14ac:dyDescent="0.2">
      <c r="A62" s="12" t="s">
        <v>116</v>
      </c>
      <c r="B62" s="306" t="str">
        <f>B40</f>
        <v>Encargos previdenciarios, FGTS e outras contribuições</v>
      </c>
      <c r="C62" s="306"/>
      <c r="D62" s="19">
        <f>E49</f>
        <v>408.88888888888891</v>
      </c>
      <c r="E62" s="24"/>
    </row>
    <row r="63" spans="1:5" x14ac:dyDescent="0.2">
      <c r="A63" s="12" t="s">
        <v>119</v>
      </c>
      <c r="B63" s="306" t="str">
        <f>B51</f>
        <v>Benefícios Mensais e Diários</v>
      </c>
      <c r="C63" s="306"/>
      <c r="D63" s="19">
        <f>D57</f>
        <v>138</v>
      </c>
      <c r="E63" s="24"/>
    </row>
    <row r="64" spans="1:5" ht="13.5" thickBot="1" x14ac:dyDescent="0.25">
      <c r="B64" s="357" t="s">
        <v>142</v>
      </c>
      <c r="C64" s="371"/>
      <c r="D64" s="52">
        <f>SUM(D61:D63)</f>
        <v>658</v>
      </c>
      <c r="E64" s="24"/>
    </row>
    <row r="65" spans="1:6" ht="13.5" thickBot="1" x14ac:dyDescent="0.25">
      <c r="B65" s="24"/>
      <c r="C65" s="24"/>
      <c r="D65" s="24"/>
      <c r="E65" s="24"/>
    </row>
    <row r="66" spans="1:6" ht="16.5" thickBot="1" x14ac:dyDescent="0.3">
      <c r="A66" s="320" t="s">
        <v>122</v>
      </c>
      <c r="B66" s="321"/>
      <c r="C66" s="321"/>
      <c r="D66" s="322"/>
    </row>
    <row r="67" spans="1:6" x14ac:dyDescent="0.2">
      <c r="A67" s="49">
        <v>3</v>
      </c>
      <c r="B67" s="368" t="s">
        <v>40</v>
      </c>
      <c r="C67" s="368"/>
      <c r="D67" s="76" t="s">
        <v>30</v>
      </c>
    </row>
    <row r="68" spans="1:6" x14ac:dyDescent="0.2">
      <c r="A68" s="12" t="s">
        <v>2</v>
      </c>
      <c r="B68" s="324" t="s">
        <v>41</v>
      </c>
      <c r="C68" s="324"/>
      <c r="D68" s="91">
        <f>E32*(10%*(1/12))</f>
        <v>8.3333333333333339</v>
      </c>
      <c r="E68" s="115"/>
    </row>
    <row r="69" spans="1:6" x14ac:dyDescent="0.2">
      <c r="A69" s="12" t="s">
        <v>3</v>
      </c>
      <c r="B69" s="306" t="s">
        <v>79</v>
      </c>
      <c r="C69" s="306"/>
      <c r="D69" s="90">
        <f>D68*0.08</f>
        <v>0.66666666666666674</v>
      </c>
      <c r="E69" s="114"/>
    </row>
    <row r="70" spans="1:6" x14ac:dyDescent="0.2">
      <c r="A70" s="12" t="s">
        <v>4</v>
      </c>
      <c r="B70" s="306" t="s">
        <v>162</v>
      </c>
      <c r="C70" s="306"/>
      <c r="D70" s="90">
        <f>D69*0.4</f>
        <v>0.26666666666666672</v>
      </c>
      <c r="E70" s="116"/>
      <c r="F70" s="54"/>
    </row>
    <row r="71" spans="1:6" x14ac:dyDescent="0.2">
      <c r="A71" s="12" t="s">
        <v>6</v>
      </c>
      <c r="B71" s="306" t="s">
        <v>42</v>
      </c>
      <c r="C71" s="306"/>
      <c r="D71" s="90">
        <f>E32*0.9*7/360</f>
        <v>17.5</v>
      </c>
    </row>
    <row r="72" spans="1:6" x14ac:dyDescent="0.2">
      <c r="A72" s="12" t="s">
        <v>7</v>
      </c>
      <c r="B72" s="306" t="s">
        <v>197</v>
      </c>
      <c r="C72" s="306"/>
      <c r="D72" s="90">
        <f>E32*(D49*((90%*7/(360)*100)/100))</f>
        <v>6.44</v>
      </c>
      <c r="E72" s="114"/>
    </row>
    <row r="73" spans="1:6" x14ac:dyDescent="0.2">
      <c r="A73" s="12" t="s">
        <v>8</v>
      </c>
      <c r="B73" s="306" t="s">
        <v>204</v>
      </c>
      <c r="C73" s="306"/>
      <c r="D73" s="90">
        <f>E48*0.4</f>
        <v>35.555555555555557</v>
      </c>
      <c r="E73" s="114"/>
    </row>
    <row r="74" spans="1:6" ht="13.5" thickBot="1" x14ac:dyDescent="0.25">
      <c r="B74" s="357" t="s">
        <v>143</v>
      </c>
      <c r="C74" s="371"/>
      <c r="D74" s="92">
        <f>SUM(D68:D73)</f>
        <v>68.762222222222221</v>
      </c>
    </row>
    <row r="75" spans="1:6" ht="13.5" thickBot="1" x14ac:dyDescent="0.25">
      <c r="A75" s="354"/>
      <c r="B75" s="354"/>
      <c r="C75" s="354"/>
      <c r="D75" s="354"/>
      <c r="E75" s="354"/>
    </row>
    <row r="76" spans="1:6" ht="15.75" x14ac:dyDescent="0.25">
      <c r="A76" s="320" t="s">
        <v>161</v>
      </c>
      <c r="B76" s="321"/>
      <c r="C76" s="321"/>
      <c r="D76" s="322"/>
      <c r="E76" s="24"/>
    </row>
    <row r="77" spans="1:6" x14ac:dyDescent="0.2">
      <c r="A77" s="12" t="s">
        <v>144</v>
      </c>
      <c r="B77" s="314" t="s">
        <v>125</v>
      </c>
      <c r="C77" s="314"/>
      <c r="D77" s="11" t="s">
        <v>30</v>
      </c>
      <c r="E77" s="24"/>
    </row>
    <row r="78" spans="1:6" x14ac:dyDescent="0.2">
      <c r="A78" s="12" t="s">
        <v>2</v>
      </c>
      <c r="B78" s="323" t="s">
        <v>60</v>
      </c>
      <c r="C78" s="324"/>
      <c r="D78" s="42">
        <f>(((((E32+D64+D74)/Matriz!C8)*Matriz!I8)/12))</f>
        <v>135.47430748232321</v>
      </c>
      <c r="E78" s="99"/>
    </row>
    <row r="79" spans="1:6" x14ac:dyDescent="0.2">
      <c r="A79" s="12" t="s">
        <v>3</v>
      </c>
      <c r="B79" s="323" t="s">
        <v>130</v>
      </c>
      <c r="C79" s="324"/>
      <c r="D79" s="42">
        <f>((((E32+D64+D74)/Matriz!C8))*Matriz!J8)/12</f>
        <v>39.244595959595955</v>
      </c>
      <c r="E79" s="24"/>
    </row>
    <row r="80" spans="1:6" x14ac:dyDescent="0.2">
      <c r="A80" s="12" t="s">
        <v>4</v>
      </c>
      <c r="B80" s="323" t="s">
        <v>154</v>
      </c>
      <c r="C80" s="324"/>
      <c r="D80" s="42">
        <f>((((E32+D64+D74)/Matriz!C8))*Matriz!K8)/12</f>
        <v>3.7910279696969695</v>
      </c>
      <c r="E80" s="24"/>
      <c r="F80" s="75"/>
    </row>
    <row r="81" spans="1:5" x14ac:dyDescent="0.2">
      <c r="A81" s="12" t="s">
        <v>6</v>
      </c>
      <c r="B81" s="324" t="s">
        <v>123</v>
      </c>
      <c r="C81" s="324"/>
      <c r="D81" s="42">
        <f>((((E32+D64+D74)/Matriz!C8))*Matriz!L8)/12</f>
        <v>11.119302188552188</v>
      </c>
      <c r="E81" s="24"/>
    </row>
    <row r="82" spans="1:5" x14ac:dyDescent="0.2">
      <c r="A82" s="12" t="s">
        <v>7</v>
      </c>
      <c r="B82" s="324" t="s">
        <v>39</v>
      </c>
      <c r="C82" s="324"/>
      <c r="D82" s="78">
        <f>((((E32+D64+D74)/Matriz!C8))*Matriz!M8)/12</f>
        <v>3.0774303998316497</v>
      </c>
      <c r="E82" s="24"/>
    </row>
    <row r="83" spans="1:5" ht="13.5" thickBot="1" x14ac:dyDescent="0.25">
      <c r="A83" s="38" t="s">
        <v>8</v>
      </c>
      <c r="B83" s="318" t="s">
        <v>62</v>
      </c>
      <c r="C83" s="318"/>
      <c r="D83" s="177">
        <v>0</v>
      </c>
      <c r="E83" s="24"/>
    </row>
    <row r="84" spans="1:5" ht="13.5" thickBot="1" x14ac:dyDescent="0.25">
      <c r="B84" s="55" t="s">
        <v>145</v>
      </c>
      <c r="C84" s="56"/>
      <c r="D84" s="52">
        <f>SUM(D78:D83)</f>
        <v>192.70666399999999</v>
      </c>
      <c r="E84" s="24"/>
    </row>
    <row r="85" spans="1:5" ht="13.5" thickBot="1" x14ac:dyDescent="0.25">
      <c r="A85" s="66"/>
      <c r="B85" s="66"/>
      <c r="C85" s="66"/>
      <c r="D85" s="74"/>
      <c r="E85" s="66"/>
    </row>
    <row r="86" spans="1:5" ht="15.75" x14ac:dyDescent="0.25">
      <c r="A86" s="320" t="s">
        <v>124</v>
      </c>
      <c r="B86" s="321"/>
      <c r="C86" s="321"/>
      <c r="D86" s="322"/>
      <c r="E86" s="66"/>
    </row>
    <row r="87" spans="1:5" x14ac:dyDescent="0.2">
      <c r="A87" s="12">
        <v>4</v>
      </c>
      <c r="B87" s="350" t="s">
        <v>125</v>
      </c>
      <c r="C87" s="351"/>
      <c r="D87" s="11" t="s">
        <v>30</v>
      </c>
      <c r="E87" s="66"/>
    </row>
    <row r="88" spans="1:5" x14ac:dyDescent="0.2">
      <c r="A88" s="12" t="s">
        <v>144</v>
      </c>
      <c r="B88" s="363" t="s">
        <v>125</v>
      </c>
      <c r="C88" s="364"/>
      <c r="D88" s="42">
        <f>D84</f>
        <v>192.70666399999999</v>
      </c>
      <c r="E88" s="66"/>
    </row>
    <row r="89" spans="1:5" ht="13.5" thickBot="1" x14ac:dyDescent="0.25">
      <c r="A89" s="66"/>
      <c r="B89" s="369" t="s">
        <v>145</v>
      </c>
      <c r="C89" s="370"/>
      <c r="D89" s="52">
        <f>SUM(D88:D88)</f>
        <v>192.70666399999999</v>
      </c>
      <c r="E89" s="66"/>
    </row>
    <row r="90" spans="1:5" ht="13.5" thickBot="1" x14ac:dyDescent="0.25">
      <c r="A90" s="66"/>
      <c r="B90" s="66"/>
      <c r="C90" s="66"/>
      <c r="D90" s="67"/>
      <c r="E90" s="66"/>
    </row>
    <row r="91" spans="1:5" ht="15.75" x14ac:dyDescent="0.25">
      <c r="A91" s="320" t="s">
        <v>171</v>
      </c>
      <c r="B91" s="321"/>
      <c r="C91" s="321"/>
      <c r="D91" s="322"/>
    </row>
    <row r="92" spans="1:5" x14ac:dyDescent="0.2">
      <c r="A92" s="12">
        <v>5</v>
      </c>
      <c r="B92" s="314" t="s">
        <v>18</v>
      </c>
      <c r="C92" s="314"/>
      <c r="D92" s="11" t="s">
        <v>30</v>
      </c>
    </row>
    <row r="93" spans="1:5" x14ac:dyDescent="0.2">
      <c r="A93" s="12" t="s">
        <v>2</v>
      </c>
      <c r="B93" s="323" t="s">
        <v>36</v>
      </c>
      <c r="C93" s="324"/>
      <c r="D93" s="42">
        <f>Uniformes!H35</f>
        <v>0</v>
      </c>
    </row>
    <row r="94" spans="1:5" x14ac:dyDescent="0.2">
      <c r="A94" s="12" t="s">
        <v>3</v>
      </c>
      <c r="B94" s="323" t="s">
        <v>191</v>
      </c>
      <c r="C94" s="324"/>
      <c r="D94" s="77">
        <f>'EPI''s'!H26</f>
        <v>0</v>
      </c>
    </row>
    <row r="95" spans="1:5" x14ac:dyDescent="0.2">
      <c r="A95" s="12" t="s">
        <v>4</v>
      </c>
      <c r="B95" s="324" t="s">
        <v>63</v>
      </c>
      <c r="C95" s="324"/>
      <c r="D95" s="77">
        <f>SUM(((E32+D38)/30)*0.021%)/12</f>
        <v>6.4814814814814824E-4</v>
      </c>
    </row>
    <row r="96" spans="1:5" x14ac:dyDescent="0.2">
      <c r="A96" s="12" t="s">
        <v>6</v>
      </c>
      <c r="B96" s="378" t="s">
        <v>184</v>
      </c>
      <c r="C96" s="362"/>
      <c r="D96" s="169">
        <f>'EPI''s'!H26</f>
        <v>0</v>
      </c>
    </row>
    <row r="97" spans="1:7" ht="13.5" thickBot="1" x14ac:dyDescent="0.25">
      <c r="B97" s="55" t="s">
        <v>59</v>
      </c>
      <c r="C97" s="56"/>
      <c r="D97" s="52">
        <f>SUM(D93:D96)</f>
        <v>6.4814814814814824E-4</v>
      </c>
    </row>
    <row r="98" spans="1:7" ht="13.5" thickBot="1" x14ac:dyDescent="0.25">
      <c r="A98" s="307"/>
      <c r="B98" s="307"/>
      <c r="C98" s="307"/>
      <c r="D98" s="307"/>
      <c r="E98" s="307"/>
    </row>
    <row r="99" spans="1:7" ht="16.5" thickBot="1" x14ac:dyDescent="0.3">
      <c r="A99" s="375" t="s">
        <v>126</v>
      </c>
      <c r="B99" s="376"/>
      <c r="C99" s="376"/>
      <c r="D99" s="376"/>
      <c r="E99" s="377"/>
    </row>
    <row r="100" spans="1:7" x14ac:dyDescent="0.2">
      <c r="A100" s="49">
        <v>6</v>
      </c>
      <c r="B100" s="368" t="s">
        <v>43</v>
      </c>
      <c r="C100" s="368"/>
      <c r="D100" s="50" t="s">
        <v>38</v>
      </c>
      <c r="E100" s="51" t="s">
        <v>30</v>
      </c>
    </row>
    <row r="101" spans="1:7" x14ac:dyDescent="0.2">
      <c r="A101" s="12" t="s">
        <v>2</v>
      </c>
      <c r="B101" s="306" t="s">
        <v>44</v>
      </c>
      <c r="C101" s="306"/>
      <c r="D101" s="59">
        <v>0.05</v>
      </c>
      <c r="E101" s="42">
        <f>D116*D101</f>
        <v>95.973500000000001</v>
      </c>
    </row>
    <row r="102" spans="1:7" x14ac:dyDescent="0.2">
      <c r="A102" s="12" t="s">
        <v>3</v>
      </c>
      <c r="B102" s="308" t="s">
        <v>64</v>
      </c>
      <c r="C102" s="306"/>
      <c r="D102" s="170">
        <v>0.05</v>
      </c>
      <c r="E102" s="19">
        <f>(D116+E101)*D102</f>
        <v>100.772175</v>
      </c>
    </row>
    <row r="103" spans="1:7" x14ac:dyDescent="0.2">
      <c r="A103" s="14" t="s">
        <v>4</v>
      </c>
      <c r="B103" s="308" t="s">
        <v>146</v>
      </c>
      <c r="C103" s="306"/>
      <c r="D103" s="100">
        <f>D104+D105+D106</f>
        <v>0.14250000000000002</v>
      </c>
      <c r="E103" s="19">
        <f>($D$116+$E$101+$E$102)*D103/(1-$D$103)</f>
        <v>351.67432500000007</v>
      </c>
    </row>
    <row r="104" spans="1:7" x14ac:dyDescent="0.2">
      <c r="A104" s="14" t="s">
        <v>149</v>
      </c>
      <c r="B104" s="308" t="s">
        <v>147</v>
      </c>
      <c r="C104" s="306"/>
      <c r="D104" s="60">
        <v>1.6500000000000001E-2</v>
      </c>
      <c r="E104" s="19">
        <f>($D$116+$E$101+$E$102)*D104/(1-$D$103)</f>
        <v>40.720185000000008</v>
      </c>
    </row>
    <row r="105" spans="1:7" x14ac:dyDescent="0.2">
      <c r="A105" s="14" t="s">
        <v>150</v>
      </c>
      <c r="B105" s="308" t="s">
        <v>148</v>
      </c>
      <c r="C105" s="306"/>
      <c r="D105" s="60">
        <v>7.5999999999999998E-2</v>
      </c>
      <c r="E105" s="19">
        <f>($D$116+$E$101+$E$102)*D105/(1-$D$103)</f>
        <v>187.55964</v>
      </c>
      <c r="G105" s="73"/>
    </row>
    <row r="106" spans="1:7" x14ac:dyDescent="0.2">
      <c r="A106" s="14" t="s">
        <v>151</v>
      </c>
      <c r="B106" s="308" t="s">
        <v>203</v>
      </c>
      <c r="C106" s="308"/>
      <c r="D106" s="60">
        <v>0.05</v>
      </c>
      <c r="E106" s="19">
        <f>($D$116+$E$101+$E$102-$E$41-$E$48)*D106/(1-$D$103)</f>
        <v>105.25391043083901</v>
      </c>
    </row>
    <row r="107" spans="1:7" ht="13.5" thickBot="1" x14ac:dyDescent="0.25">
      <c r="B107" s="55" t="s">
        <v>45</v>
      </c>
      <c r="C107" s="56"/>
      <c r="D107" s="57">
        <f>D101+D102+D103</f>
        <v>0.24250000000000002</v>
      </c>
      <c r="E107" s="52">
        <f>E101+E102+E104+E105+E106</f>
        <v>530.27941043083899</v>
      </c>
      <c r="G107" s="45"/>
    </row>
    <row r="108" spans="1:7" ht="13.5" thickBot="1" x14ac:dyDescent="0.25">
      <c r="A108" s="354"/>
      <c r="B108" s="354"/>
      <c r="C108" s="354"/>
      <c r="D108" s="354"/>
      <c r="E108" s="354"/>
      <c r="G108" s="45"/>
    </row>
    <row r="109" spans="1:7" ht="15.75" x14ac:dyDescent="0.25">
      <c r="A109" s="320" t="s">
        <v>47</v>
      </c>
      <c r="B109" s="321"/>
      <c r="C109" s="321"/>
      <c r="D109" s="322"/>
      <c r="G109" s="45"/>
    </row>
    <row r="110" spans="1:7" x14ac:dyDescent="0.2">
      <c r="A110" s="12">
        <v>5</v>
      </c>
      <c r="B110" s="314" t="s">
        <v>46</v>
      </c>
      <c r="C110" s="314"/>
      <c r="D110" s="11" t="s">
        <v>30</v>
      </c>
      <c r="G110" s="45"/>
    </row>
    <row r="111" spans="1:7" x14ac:dyDescent="0.2">
      <c r="A111" s="12" t="s">
        <v>2</v>
      </c>
      <c r="B111" s="306" t="s">
        <v>27</v>
      </c>
      <c r="C111" s="306"/>
      <c r="D111" s="42">
        <f>E32</f>
        <v>1000</v>
      </c>
      <c r="G111" s="45"/>
    </row>
    <row r="112" spans="1:7" x14ac:dyDescent="0.2">
      <c r="A112" s="12" t="s">
        <v>3</v>
      </c>
      <c r="B112" s="308" t="s">
        <v>136</v>
      </c>
      <c r="C112" s="306"/>
      <c r="D112" s="19">
        <f>D64</f>
        <v>658</v>
      </c>
      <c r="G112" s="53"/>
    </row>
    <row r="113" spans="1:7" x14ac:dyDescent="0.2">
      <c r="A113" s="12" t="s">
        <v>4</v>
      </c>
      <c r="B113" s="308" t="s">
        <v>122</v>
      </c>
      <c r="C113" s="306"/>
      <c r="D113" s="19">
        <f>D74</f>
        <v>68.762222222222221</v>
      </c>
      <c r="G113" s="45"/>
    </row>
    <row r="114" spans="1:7" x14ac:dyDescent="0.2">
      <c r="A114" s="14" t="s">
        <v>6</v>
      </c>
      <c r="B114" s="308" t="s">
        <v>137</v>
      </c>
      <c r="C114" s="306"/>
      <c r="D114" s="19">
        <f>D89</f>
        <v>192.70666399999999</v>
      </c>
    </row>
    <row r="115" spans="1:7" x14ac:dyDescent="0.2">
      <c r="A115" s="89" t="s">
        <v>7</v>
      </c>
      <c r="B115" s="308" t="s">
        <v>160</v>
      </c>
      <c r="C115" s="308"/>
      <c r="D115" s="88">
        <f>D97</f>
        <v>6.4814814814814824E-4</v>
      </c>
      <c r="G115" s="53"/>
    </row>
    <row r="116" spans="1:7" x14ac:dyDescent="0.2">
      <c r="A116" s="372" t="s">
        <v>163</v>
      </c>
      <c r="B116" s="373"/>
      <c r="C116" s="374"/>
      <c r="D116" s="58">
        <f>ROUND(SUM(D111:D115),2)</f>
        <v>1919.47</v>
      </c>
    </row>
    <row r="117" spans="1:7" ht="13.5" thickBot="1" x14ac:dyDescent="0.25">
      <c r="A117" s="23" t="s">
        <v>8</v>
      </c>
      <c r="B117" s="319" t="s">
        <v>126</v>
      </c>
      <c r="C117" s="319"/>
      <c r="D117" s="20">
        <f>ROUND(E107,2)</f>
        <v>530.28</v>
      </c>
    </row>
    <row r="118" spans="1:7" ht="13.5" thickBot="1" x14ac:dyDescent="0.25">
      <c r="B118" s="365" t="s">
        <v>49</v>
      </c>
      <c r="C118" s="366"/>
      <c r="D118" s="52">
        <f>ROUND((D116+D117),2)</f>
        <v>2449.75</v>
      </c>
      <c r="E118" s="45"/>
      <c r="G118" s="54"/>
    </row>
    <row r="119" spans="1:7" ht="13.5" thickBot="1" x14ac:dyDescent="0.25">
      <c r="A119" s="354"/>
      <c r="B119" s="354"/>
      <c r="C119" s="354"/>
      <c r="D119" s="354"/>
      <c r="E119" s="354"/>
    </row>
    <row r="120" spans="1:7" ht="15.75" x14ac:dyDescent="0.25">
      <c r="A120" s="320" t="s">
        <v>58</v>
      </c>
      <c r="B120" s="321"/>
      <c r="C120" s="321"/>
      <c r="D120" s="322"/>
    </row>
    <row r="121" spans="1:7" x14ac:dyDescent="0.2">
      <c r="A121" s="12">
        <v>5</v>
      </c>
      <c r="B121" s="314" t="s">
        <v>46</v>
      </c>
      <c r="C121" s="314"/>
      <c r="D121" s="11" t="s">
        <v>30</v>
      </c>
    </row>
    <row r="122" spans="1:7" x14ac:dyDescent="0.2">
      <c r="A122" s="12" t="s">
        <v>2</v>
      </c>
      <c r="B122" s="306" t="s">
        <v>27</v>
      </c>
      <c r="C122" s="306"/>
      <c r="D122" s="42">
        <f>D111*TOTAIS!F23</f>
        <v>19000</v>
      </c>
    </row>
    <row r="123" spans="1:7" x14ac:dyDescent="0.2">
      <c r="A123" s="12" t="s">
        <v>3</v>
      </c>
      <c r="B123" s="306" t="s">
        <v>33</v>
      </c>
      <c r="C123" s="306"/>
      <c r="D123" s="19">
        <f>D112*TOTAIS!F23</f>
        <v>12502</v>
      </c>
    </row>
    <row r="124" spans="1:7" x14ac:dyDescent="0.2">
      <c r="A124" s="12" t="s">
        <v>4</v>
      </c>
      <c r="B124" s="306" t="s">
        <v>35</v>
      </c>
      <c r="C124" s="306"/>
      <c r="D124" s="19">
        <f>D113*TOTAIS!F23</f>
        <v>1306.4822222222222</v>
      </c>
    </row>
    <row r="125" spans="1:7" x14ac:dyDescent="0.2">
      <c r="A125" s="14" t="s">
        <v>6</v>
      </c>
      <c r="B125" s="306" t="s">
        <v>48</v>
      </c>
      <c r="C125" s="306"/>
      <c r="D125" s="19">
        <f>D114*TOTAIS!F23</f>
        <v>3661.4266159999997</v>
      </c>
    </row>
    <row r="126" spans="1:7" x14ac:dyDescent="0.2">
      <c r="A126" s="89" t="s">
        <v>7</v>
      </c>
      <c r="B126" s="308" t="s">
        <v>160</v>
      </c>
      <c r="C126" s="308"/>
      <c r="D126" s="19">
        <f>D115*TOTAIS!F23</f>
        <v>1.2314814814814817E-2</v>
      </c>
    </row>
    <row r="127" spans="1:7" x14ac:dyDescent="0.2">
      <c r="A127" s="372" t="s">
        <v>57</v>
      </c>
      <c r="B127" s="373"/>
      <c r="C127" s="374"/>
      <c r="D127" s="58">
        <f>SUM(D122:D126)</f>
        <v>36469.92115303703</v>
      </c>
    </row>
    <row r="128" spans="1:7" ht="13.5" thickBot="1" x14ac:dyDescent="0.25">
      <c r="A128" s="23" t="s">
        <v>8</v>
      </c>
      <c r="B128" s="319" t="s">
        <v>126</v>
      </c>
      <c r="C128" s="319"/>
      <c r="D128" s="20">
        <f>D117*TOTAIS!F23</f>
        <v>10075.32</v>
      </c>
    </row>
    <row r="129" spans="2:4" ht="13.5" thickBot="1" x14ac:dyDescent="0.25">
      <c r="B129" s="365" t="s">
        <v>55</v>
      </c>
      <c r="C129" s="366"/>
      <c r="D129" s="52">
        <f>D127+D128</f>
        <v>46545.24115303703</v>
      </c>
    </row>
  </sheetData>
  <mergeCells count="121">
    <mergeCell ref="A7:C7"/>
    <mergeCell ref="A8:C8"/>
    <mergeCell ref="A9:E9"/>
    <mergeCell ref="A10:D10"/>
    <mergeCell ref="B11:C11"/>
    <mergeCell ref="B12:C12"/>
    <mergeCell ref="A1:E1"/>
    <mergeCell ref="A2:E2"/>
    <mergeCell ref="A3:E3"/>
    <mergeCell ref="A4:D4"/>
    <mergeCell ref="A5:C5"/>
    <mergeCell ref="A6:C6"/>
    <mergeCell ref="B19:C19"/>
    <mergeCell ref="B20:C20"/>
    <mergeCell ref="A21:E21"/>
    <mergeCell ref="A22:E22"/>
    <mergeCell ref="B23:C23"/>
    <mergeCell ref="B24:C24"/>
    <mergeCell ref="B13:C13"/>
    <mergeCell ref="B14:C14"/>
    <mergeCell ref="A15:E15"/>
    <mergeCell ref="A16:D16"/>
    <mergeCell ref="B17:C17"/>
    <mergeCell ref="B18:C18"/>
    <mergeCell ref="B31:C31"/>
    <mergeCell ref="B32:D32"/>
    <mergeCell ref="A33:E33"/>
    <mergeCell ref="A34:D34"/>
    <mergeCell ref="B35:C35"/>
    <mergeCell ref="B36:C36"/>
    <mergeCell ref="B25:C25"/>
    <mergeCell ref="B26:C26"/>
    <mergeCell ref="B27:C27"/>
    <mergeCell ref="B28:C28"/>
    <mergeCell ref="B30:C30"/>
    <mergeCell ref="B29:C29"/>
    <mergeCell ref="B43:C43"/>
    <mergeCell ref="B44:C44"/>
    <mergeCell ref="B45:C45"/>
    <mergeCell ref="B46:C46"/>
    <mergeCell ref="B47:C47"/>
    <mergeCell ref="B48:C48"/>
    <mergeCell ref="B37:C37"/>
    <mergeCell ref="B38:C38"/>
    <mergeCell ref="A39:E39"/>
    <mergeCell ref="B40:C40"/>
    <mergeCell ref="B41:C41"/>
    <mergeCell ref="B42:C42"/>
    <mergeCell ref="B56:C56"/>
    <mergeCell ref="B57:C57"/>
    <mergeCell ref="B61:C61"/>
    <mergeCell ref="B62:C62"/>
    <mergeCell ref="A59:D59"/>
    <mergeCell ref="B60:C60"/>
    <mergeCell ref="B49:C49"/>
    <mergeCell ref="B51:C51"/>
    <mergeCell ref="B52:C52"/>
    <mergeCell ref="B53:C53"/>
    <mergeCell ref="B54:C54"/>
    <mergeCell ref="B55:C55"/>
    <mergeCell ref="A76:D76"/>
    <mergeCell ref="B70:C70"/>
    <mergeCell ref="B71:C71"/>
    <mergeCell ref="B72:C72"/>
    <mergeCell ref="B74:C74"/>
    <mergeCell ref="A75:E75"/>
    <mergeCell ref="B63:C63"/>
    <mergeCell ref="B64:C64"/>
    <mergeCell ref="B68:C68"/>
    <mergeCell ref="B69:C69"/>
    <mergeCell ref="A66:D66"/>
    <mergeCell ref="B67:C67"/>
    <mergeCell ref="B73:C73"/>
    <mergeCell ref="B129:C129"/>
    <mergeCell ref="B89:C89"/>
    <mergeCell ref="B88:C88"/>
    <mergeCell ref="B123:C123"/>
    <mergeCell ref="B124:C124"/>
    <mergeCell ref="B125:C125"/>
    <mergeCell ref="B126:C126"/>
    <mergeCell ref="B118:C118"/>
    <mergeCell ref="B122:C122"/>
    <mergeCell ref="B117:C117"/>
    <mergeCell ref="A119:E119"/>
    <mergeCell ref="A120:D120"/>
    <mergeCell ref="B111:C111"/>
    <mergeCell ref="B112:C112"/>
    <mergeCell ref="B113:C113"/>
    <mergeCell ref="B114:C114"/>
    <mergeCell ref="B115:C115"/>
    <mergeCell ref="A116:C116"/>
    <mergeCell ref="B104:C104"/>
    <mergeCell ref="B105:C105"/>
    <mergeCell ref="B106:C106"/>
    <mergeCell ref="A108:E108"/>
    <mergeCell ref="A109:D109"/>
    <mergeCell ref="B110:C110"/>
    <mergeCell ref="B121:C121"/>
    <mergeCell ref="A127:C127"/>
    <mergeCell ref="B128:C128"/>
    <mergeCell ref="B77:C77"/>
    <mergeCell ref="A86:D86"/>
    <mergeCell ref="B87:C87"/>
    <mergeCell ref="A91:D91"/>
    <mergeCell ref="B92:C92"/>
    <mergeCell ref="A98:E98"/>
    <mergeCell ref="A99:E99"/>
    <mergeCell ref="B101:C101"/>
    <mergeCell ref="B102:C102"/>
    <mergeCell ref="B103:C103"/>
    <mergeCell ref="B100:C100"/>
    <mergeCell ref="B93:C93"/>
    <mergeCell ref="B94:C94"/>
    <mergeCell ref="B95:C95"/>
    <mergeCell ref="B96:C96"/>
    <mergeCell ref="B82:C82"/>
    <mergeCell ref="B83:C83"/>
    <mergeCell ref="B78:C78"/>
    <mergeCell ref="B79:C79"/>
    <mergeCell ref="B80:C80"/>
    <mergeCell ref="B81:C81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G129"/>
  <sheetViews>
    <sheetView showGridLines="0" topLeftCell="A97" workbookViewId="0">
      <selection activeCell="B72" sqref="B72:C72"/>
    </sheetView>
  </sheetViews>
  <sheetFormatPr defaultRowHeight="12.75" x14ac:dyDescent="0.2"/>
  <cols>
    <col min="1" max="1" width="3.7109375" style="104" customWidth="1"/>
    <col min="2" max="2" width="24.7109375" style="16" customWidth="1"/>
    <col min="3" max="3" width="28.7109375" style="16" customWidth="1"/>
    <col min="4" max="4" width="32.85546875" style="16" bestFit="1" customWidth="1"/>
    <col min="5" max="5" width="28.7109375" style="16" customWidth="1"/>
    <col min="6" max="6" width="9.140625" style="16"/>
    <col min="7" max="7" width="12.28515625" style="16" bestFit="1" customWidth="1"/>
    <col min="8" max="8" width="12.140625" style="16" bestFit="1" customWidth="1"/>
    <col min="9" max="10" width="10.5703125" style="16" bestFit="1" customWidth="1"/>
    <col min="11" max="11" width="9.5703125" style="16" bestFit="1" customWidth="1"/>
    <col min="12" max="16384" width="9.140625" style="16"/>
  </cols>
  <sheetData>
    <row r="1" spans="1:5" ht="20.25" x14ac:dyDescent="0.3">
      <c r="A1" s="336" t="s">
        <v>0</v>
      </c>
      <c r="B1" s="337"/>
      <c r="C1" s="337"/>
      <c r="D1" s="337"/>
      <c r="E1" s="338"/>
    </row>
    <row r="2" spans="1:5" ht="20.25" x14ac:dyDescent="0.3">
      <c r="A2" s="339" t="str">
        <f>TOTAIS!A6</f>
        <v>FORNECEDOR</v>
      </c>
      <c r="B2" s="340"/>
      <c r="C2" s="340"/>
      <c r="D2" s="340"/>
      <c r="E2" s="341"/>
    </row>
    <row r="3" spans="1:5" ht="21" thickBot="1" x14ac:dyDescent="0.35">
      <c r="A3" s="342" t="str">
        <f>D19</f>
        <v>Auxiliar de Arquivo - 12 x 36 - DIURNO (Segunda a domingo)</v>
      </c>
      <c r="B3" s="343"/>
      <c r="C3" s="343"/>
      <c r="D3" s="343"/>
      <c r="E3" s="344"/>
    </row>
    <row r="4" spans="1:5" ht="13.5" thickBot="1" x14ac:dyDescent="0.25">
      <c r="A4" s="292"/>
      <c r="B4" s="292"/>
      <c r="C4" s="292"/>
      <c r="D4" s="292"/>
      <c r="E4" s="25"/>
    </row>
    <row r="5" spans="1:5" x14ac:dyDescent="0.2">
      <c r="A5" s="327" t="s">
        <v>1</v>
      </c>
      <c r="B5" s="328"/>
      <c r="C5" s="328"/>
      <c r="D5" s="26" t="str">
        <f>TOTAIS!D9</f>
        <v>23759.020964/2019-25</v>
      </c>
      <c r="E5" s="27"/>
    </row>
    <row r="6" spans="1:5" x14ac:dyDescent="0.2">
      <c r="A6" s="334" t="s">
        <v>19</v>
      </c>
      <c r="B6" s="335"/>
      <c r="C6" s="335"/>
      <c r="D6" s="28" t="str">
        <f>TOTAIS!D10</f>
        <v>Pregão nº ___/20XX</v>
      </c>
      <c r="E6" s="27"/>
    </row>
    <row r="7" spans="1:5" x14ac:dyDescent="0.2">
      <c r="A7" s="345" t="s">
        <v>61</v>
      </c>
      <c r="B7" s="346"/>
      <c r="C7" s="346"/>
      <c r="D7" s="28" t="str">
        <f>TOTAIS!E9</f>
        <v>Lucro Real</v>
      </c>
      <c r="E7" s="27"/>
    </row>
    <row r="8" spans="1:5" ht="13.5" thickBot="1" x14ac:dyDescent="0.25">
      <c r="A8" s="309" t="s">
        <v>56</v>
      </c>
      <c r="B8" s="310"/>
      <c r="C8" s="310"/>
      <c r="D8" s="29">
        <f>TOTAIS!E24</f>
        <v>1</v>
      </c>
      <c r="E8" s="27"/>
    </row>
    <row r="9" spans="1:5" ht="13.5" thickBot="1" x14ac:dyDescent="0.25">
      <c r="A9" s="311"/>
      <c r="B9" s="311"/>
      <c r="C9" s="311"/>
      <c r="D9" s="311"/>
      <c r="E9" s="311"/>
    </row>
    <row r="10" spans="1:5" ht="15.75" x14ac:dyDescent="0.25">
      <c r="A10" s="329" t="s">
        <v>20</v>
      </c>
      <c r="B10" s="330"/>
      <c r="C10" s="330"/>
      <c r="D10" s="331"/>
      <c r="E10" s="27"/>
    </row>
    <row r="11" spans="1:5" x14ac:dyDescent="0.2">
      <c r="A11" s="30" t="s">
        <v>2</v>
      </c>
      <c r="B11" s="312" t="s">
        <v>52</v>
      </c>
      <c r="C11" s="313"/>
      <c r="D11" s="31" t="str">
        <f>TOTAIS!D12</f>
        <v>__/__/20__</v>
      </c>
      <c r="E11" s="27"/>
    </row>
    <row r="12" spans="1:5" x14ac:dyDescent="0.2">
      <c r="A12" s="30" t="s">
        <v>3</v>
      </c>
      <c r="B12" s="312" t="s">
        <v>50</v>
      </c>
      <c r="C12" s="313"/>
      <c r="D12" s="32" t="str">
        <f>TOTAIS!D16</f>
        <v>Curitiba/PR</v>
      </c>
      <c r="E12" s="27"/>
    </row>
    <row r="13" spans="1:5" x14ac:dyDescent="0.2">
      <c r="A13" s="30" t="s">
        <v>4</v>
      </c>
      <c r="B13" s="312" t="s">
        <v>5</v>
      </c>
      <c r="C13" s="313"/>
      <c r="D13" s="33" t="str">
        <f>TOTAIS!D17</f>
        <v>CCT 2019/2020</v>
      </c>
      <c r="E13" s="27"/>
    </row>
    <row r="14" spans="1:5" ht="13.5" thickBot="1" x14ac:dyDescent="0.25">
      <c r="A14" s="34" t="s">
        <v>6</v>
      </c>
      <c r="B14" s="332" t="s">
        <v>53</v>
      </c>
      <c r="C14" s="333"/>
      <c r="D14" s="35">
        <f>TOTAIS!D18</f>
        <v>12</v>
      </c>
      <c r="E14" s="27"/>
    </row>
    <row r="15" spans="1:5" ht="13.5" thickBot="1" x14ac:dyDescent="0.25">
      <c r="A15" s="311"/>
      <c r="B15" s="311"/>
      <c r="C15" s="311"/>
      <c r="D15" s="311"/>
      <c r="E15" s="311"/>
    </row>
    <row r="16" spans="1:5" ht="15.75" x14ac:dyDescent="0.25">
      <c r="A16" s="347" t="s">
        <v>24</v>
      </c>
      <c r="B16" s="348"/>
      <c r="C16" s="348"/>
      <c r="D16" s="349"/>
    </row>
    <row r="17" spans="1:5" x14ac:dyDescent="0.2">
      <c r="A17" s="12">
        <v>1</v>
      </c>
      <c r="B17" s="306" t="s">
        <v>22</v>
      </c>
      <c r="C17" s="306"/>
      <c r="D17" s="36" t="s">
        <v>156</v>
      </c>
    </row>
    <row r="18" spans="1:5" x14ac:dyDescent="0.2">
      <c r="A18" s="12">
        <v>2</v>
      </c>
      <c r="B18" s="306" t="s">
        <v>25</v>
      </c>
      <c r="C18" s="306"/>
      <c r="D18" s="102">
        <f>TOTAIS!H24</f>
        <v>1000</v>
      </c>
    </row>
    <row r="19" spans="1:5" x14ac:dyDescent="0.2">
      <c r="A19" s="12">
        <v>3</v>
      </c>
      <c r="B19" s="306" t="s">
        <v>26</v>
      </c>
      <c r="C19" s="306"/>
      <c r="D19" s="123" t="str">
        <f>TOTAIS!A24</f>
        <v>Auxiliar de Arquivo - 12 x 36 - DIURNO (Segunda a domingo)</v>
      </c>
    </row>
    <row r="20" spans="1:5" ht="13.5" thickBot="1" x14ac:dyDescent="0.25">
      <c r="A20" s="38">
        <v>4</v>
      </c>
      <c r="B20" s="319" t="s">
        <v>51</v>
      </c>
      <c r="C20" s="319"/>
      <c r="D20" s="39" t="str">
        <f>TOTAIS!F16</f>
        <v>Validade CCT</v>
      </c>
    </row>
    <row r="21" spans="1:5" ht="13.5" thickBot="1" x14ac:dyDescent="0.25">
      <c r="A21" s="307"/>
      <c r="B21" s="307"/>
      <c r="C21" s="307"/>
      <c r="D21" s="307"/>
      <c r="E21" s="307"/>
    </row>
    <row r="22" spans="1:5" ht="15.75" x14ac:dyDescent="0.25">
      <c r="A22" s="315" t="s">
        <v>27</v>
      </c>
      <c r="B22" s="316"/>
      <c r="C22" s="316"/>
      <c r="D22" s="316"/>
      <c r="E22" s="317"/>
    </row>
    <row r="23" spans="1:5" x14ac:dyDescent="0.2">
      <c r="A23" s="12">
        <v>1</v>
      </c>
      <c r="B23" s="314" t="s">
        <v>28</v>
      </c>
      <c r="C23" s="314"/>
      <c r="D23" s="40" t="s">
        <v>29</v>
      </c>
      <c r="E23" s="11" t="s">
        <v>30</v>
      </c>
    </row>
    <row r="24" spans="1:5" x14ac:dyDescent="0.2">
      <c r="A24" s="12" t="s">
        <v>2</v>
      </c>
      <c r="B24" s="306" t="s">
        <v>31</v>
      </c>
      <c r="C24" s="306"/>
      <c r="D24" s="41"/>
      <c r="E24" s="42">
        <f>TOTAIS!H24</f>
        <v>1000</v>
      </c>
    </row>
    <row r="25" spans="1:5" x14ac:dyDescent="0.2">
      <c r="A25" s="12" t="s">
        <v>3</v>
      </c>
      <c r="B25" s="306" t="s">
        <v>10</v>
      </c>
      <c r="C25" s="306"/>
      <c r="D25" s="69">
        <f>Matriz!F9</f>
        <v>0</v>
      </c>
      <c r="E25" s="19">
        <f>E24*D25</f>
        <v>0</v>
      </c>
    </row>
    <row r="26" spans="1:5" x14ac:dyDescent="0.2">
      <c r="A26" s="12" t="s">
        <v>4</v>
      </c>
      <c r="B26" s="306" t="s">
        <v>11</v>
      </c>
      <c r="C26" s="306"/>
      <c r="D26" s="69">
        <f>Matriz!G9</f>
        <v>0</v>
      </c>
      <c r="E26" s="19">
        <f>D26*TOTAIS!F48</f>
        <v>0</v>
      </c>
    </row>
    <row r="27" spans="1:5" x14ac:dyDescent="0.2">
      <c r="A27" s="14" t="s">
        <v>7</v>
      </c>
      <c r="B27" s="306" t="s">
        <v>32</v>
      </c>
      <c r="C27" s="306"/>
      <c r="D27" s="69">
        <f>Matriz!H9</f>
        <v>0</v>
      </c>
      <c r="E27" s="19">
        <f>(((((SUM(E24:E26)/220)*D27)*7)*7)*4.35)/2</f>
        <v>0</v>
      </c>
    </row>
    <row r="28" spans="1:5" x14ac:dyDescent="0.2">
      <c r="A28" s="14" t="s">
        <v>8</v>
      </c>
      <c r="B28" s="306" t="s">
        <v>196</v>
      </c>
      <c r="C28" s="306"/>
      <c r="D28" s="41">
        <v>0</v>
      </c>
      <c r="E28" s="19">
        <f>IF(E27&lt;&gt; 0,((((((SUM(E24:E26)/220)*D27)+(SUM(E24:E26)/220))*0.875)*7)*4.35)/2,0)</f>
        <v>0</v>
      </c>
    </row>
    <row r="29" spans="1:5" x14ac:dyDescent="0.2">
      <c r="A29" s="172" t="s">
        <v>9</v>
      </c>
      <c r="B29" s="325" t="s">
        <v>198</v>
      </c>
      <c r="C29" s="326"/>
      <c r="D29" s="173">
        <v>0.5</v>
      </c>
      <c r="E29" s="19">
        <f>((((D18/TOTAIS!G24)*(D29+1)*Matriz!C9)))</f>
        <v>105.68181818181819</v>
      </c>
    </row>
    <row r="30" spans="1:5" ht="13.5" thickBot="1" x14ac:dyDescent="0.25">
      <c r="A30" s="23" t="s">
        <v>9</v>
      </c>
      <c r="B30" s="323" t="s">
        <v>131</v>
      </c>
      <c r="C30" s="324"/>
      <c r="D30" s="43">
        <v>0</v>
      </c>
      <c r="E30" s="19">
        <f>IF(CCT!I9="SIM",(E24+E25+E26)*((((11*71.429%)+3)/365.25)*100)%*50%*100%,0)</f>
        <v>0</v>
      </c>
    </row>
    <row r="31" spans="1:5" ht="13.5" thickBot="1" x14ac:dyDescent="0.25">
      <c r="A31" s="23" t="s">
        <v>13</v>
      </c>
      <c r="B31" s="379" t="s">
        <v>62</v>
      </c>
      <c r="C31" s="318"/>
      <c r="D31" s="171">
        <v>0</v>
      </c>
      <c r="E31" s="112">
        <f>D31*E24</f>
        <v>0</v>
      </c>
    </row>
    <row r="32" spans="1:5" ht="13.5" thickBot="1" x14ac:dyDescent="0.25">
      <c r="B32" s="359" t="s">
        <v>138</v>
      </c>
      <c r="C32" s="360"/>
      <c r="D32" s="360"/>
      <c r="E32" s="44">
        <f>SUM(E24:E31)</f>
        <v>1105.6818181818182</v>
      </c>
    </row>
    <row r="33" spans="1:5" ht="13.5" thickBot="1" x14ac:dyDescent="0.25">
      <c r="A33" s="354"/>
      <c r="B33" s="354"/>
      <c r="C33" s="354"/>
      <c r="D33" s="354"/>
      <c r="E33" s="354"/>
    </row>
    <row r="34" spans="1:5" ht="15.75" x14ac:dyDescent="0.25">
      <c r="A34" s="320" t="s">
        <v>128</v>
      </c>
      <c r="B34" s="321"/>
      <c r="C34" s="321"/>
      <c r="D34" s="322"/>
    </row>
    <row r="35" spans="1:5" x14ac:dyDescent="0.2">
      <c r="A35" s="12" t="s">
        <v>115</v>
      </c>
      <c r="B35" s="350" t="s">
        <v>157</v>
      </c>
      <c r="C35" s="351"/>
      <c r="D35" s="11" t="s">
        <v>30</v>
      </c>
    </row>
    <row r="36" spans="1:5" x14ac:dyDescent="0.2">
      <c r="A36" s="12" t="s">
        <v>2</v>
      </c>
      <c r="B36" s="325" t="s">
        <v>180</v>
      </c>
      <c r="C36" s="326"/>
      <c r="D36" s="42">
        <f>E32/12</f>
        <v>92.140151515151516</v>
      </c>
    </row>
    <row r="37" spans="1:5" ht="13.5" thickBot="1" x14ac:dyDescent="0.25">
      <c r="A37" s="12" t="s">
        <v>3</v>
      </c>
      <c r="B37" s="325" t="s">
        <v>181</v>
      </c>
      <c r="C37" s="326"/>
      <c r="D37" s="19">
        <f>E32*1/3/12</f>
        <v>30.713383838383837</v>
      </c>
      <c r="E37" s="113"/>
    </row>
    <row r="38" spans="1:5" ht="13.5" thickBot="1" x14ac:dyDescent="0.25">
      <c r="B38" s="355" t="s">
        <v>37</v>
      </c>
      <c r="C38" s="356"/>
      <c r="D38" s="44">
        <f>SUM(D36:D37)</f>
        <v>122.85353535353535</v>
      </c>
    </row>
    <row r="39" spans="1:5" x14ac:dyDescent="0.2">
      <c r="A39" s="354"/>
      <c r="B39" s="354"/>
      <c r="C39" s="354"/>
      <c r="D39" s="354"/>
      <c r="E39" s="354"/>
    </row>
    <row r="40" spans="1:5" x14ac:dyDescent="0.2">
      <c r="A40" s="12" t="s">
        <v>116</v>
      </c>
      <c r="B40" s="350" t="s">
        <v>127</v>
      </c>
      <c r="C40" s="351"/>
      <c r="D40" s="11" t="s">
        <v>38</v>
      </c>
      <c r="E40" s="11" t="s">
        <v>30</v>
      </c>
    </row>
    <row r="41" spans="1:5" x14ac:dyDescent="0.2">
      <c r="A41" s="12" t="s">
        <v>2</v>
      </c>
      <c r="B41" s="306" t="s">
        <v>54</v>
      </c>
      <c r="C41" s="306"/>
      <c r="D41" s="46">
        <v>0.2</v>
      </c>
      <c r="E41" s="47">
        <f>($E$32+$D$38)*D41</f>
        <v>245.70707070707073</v>
      </c>
    </row>
    <row r="42" spans="1:5" x14ac:dyDescent="0.2">
      <c r="A42" s="12" t="s">
        <v>3</v>
      </c>
      <c r="B42" s="306" t="s">
        <v>17</v>
      </c>
      <c r="C42" s="306"/>
      <c r="D42" s="46">
        <v>2.5000000000000001E-2</v>
      </c>
      <c r="E42" s="47">
        <f t="shared" ref="E42:E48" si="0">($E$32+$D$38)*D42</f>
        <v>30.713383838383841</v>
      </c>
    </row>
    <row r="43" spans="1:5" x14ac:dyDescent="0.2">
      <c r="A43" s="12" t="s">
        <v>4</v>
      </c>
      <c r="B43" s="306" t="s">
        <v>182</v>
      </c>
      <c r="C43" s="306"/>
      <c r="D43" s="170">
        <v>0.03</v>
      </c>
      <c r="E43" s="47">
        <f t="shared" si="0"/>
        <v>36.856060606060609</v>
      </c>
    </row>
    <row r="44" spans="1:5" x14ac:dyDescent="0.2">
      <c r="A44" s="12" t="s">
        <v>6</v>
      </c>
      <c r="B44" s="306" t="s">
        <v>117</v>
      </c>
      <c r="C44" s="306"/>
      <c r="D44" s="46">
        <v>1.4999999999999999E-2</v>
      </c>
      <c r="E44" s="47">
        <f t="shared" si="0"/>
        <v>18.428030303030305</v>
      </c>
    </row>
    <row r="45" spans="1:5" x14ac:dyDescent="0.2">
      <c r="A45" s="14" t="s">
        <v>7</v>
      </c>
      <c r="B45" s="306" t="s">
        <v>118</v>
      </c>
      <c r="C45" s="306"/>
      <c r="D45" s="46">
        <v>0.01</v>
      </c>
      <c r="E45" s="47">
        <f t="shared" si="0"/>
        <v>12.285353535353536</v>
      </c>
    </row>
    <row r="46" spans="1:5" x14ac:dyDescent="0.2">
      <c r="A46" s="14" t="s">
        <v>8</v>
      </c>
      <c r="B46" s="306" t="s">
        <v>16</v>
      </c>
      <c r="C46" s="306"/>
      <c r="D46" s="46">
        <v>6.0000000000000001E-3</v>
      </c>
      <c r="E46" s="47">
        <f t="shared" si="0"/>
        <v>7.371212121212122</v>
      </c>
    </row>
    <row r="47" spans="1:5" ht="13.5" thickBot="1" x14ac:dyDescent="0.25">
      <c r="A47" s="23" t="s">
        <v>9</v>
      </c>
      <c r="B47" s="306" t="s">
        <v>15</v>
      </c>
      <c r="C47" s="306"/>
      <c r="D47" s="46">
        <v>2E-3</v>
      </c>
      <c r="E47" s="47">
        <f t="shared" si="0"/>
        <v>2.4570707070707072</v>
      </c>
    </row>
    <row r="48" spans="1:5" ht="13.5" thickBot="1" x14ac:dyDescent="0.25">
      <c r="A48" s="12" t="s">
        <v>13</v>
      </c>
      <c r="B48" s="319" t="s">
        <v>14</v>
      </c>
      <c r="C48" s="319"/>
      <c r="D48" s="48">
        <v>0.08</v>
      </c>
      <c r="E48" s="47">
        <f t="shared" si="0"/>
        <v>98.282828282828291</v>
      </c>
    </row>
    <row r="49" spans="1:5" ht="13.5" thickBot="1" x14ac:dyDescent="0.25">
      <c r="B49" s="352" t="s">
        <v>139</v>
      </c>
      <c r="C49" s="353"/>
      <c r="D49" s="84">
        <f>SUM(D41:D48)</f>
        <v>0.36800000000000005</v>
      </c>
      <c r="E49" s="65">
        <f>SUM(E41:E48)</f>
        <v>452.10101010101016</v>
      </c>
    </row>
    <row r="50" spans="1:5" x14ac:dyDescent="0.2">
      <c r="B50" s="104"/>
      <c r="C50" s="104"/>
      <c r="D50" s="104"/>
      <c r="E50" s="104"/>
    </row>
    <row r="51" spans="1:5" x14ac:dyDescent="0.2">
      <c r="A51" s="12" t="s">
        <v>119</v>
      </c>
      <c r="B51" s="350" t="s">
        <v>34</v>
      </c>
      <c r="C51" s="351"/>
      <c r="D51" s="11" t="s">
        <v>30</v>
      </c>
      <c r="E51" s="104"/>
    </row>
    <row r="52" spans="1:5" x14ac:dyDescent="0.2">
      <c r="A52" s="12" t="s">
        <v>2</v>
      </c>
      <c r="B52" s="325" t="s">
        <v>120</v>
      </c>
      <c r="C52" s="326"/>
      <c r="D52" s="42">
        <f>Matriz!E21</f>
        <v>79.5</v>
      </c>
      <c r="E52" s="104"/>
    </row>
    <row r="53" spans="1:5" x14ac:dyDescent="0.2">
      <c r="A53" s="12" t="s">
        <v>3</v>
      </c>
      <c r="B53" s="325" t="s">
        <v>121</v>
      </c>
      <c r="C53" s="326"/>
      <c r="D53" s="19">
        <f>CCT!E9</f>
        <v>0</v>
      </c>
      <c r="E53" s="104"/>
    </row>
    <row r="54" spans="1:5" x14ac:dyDescent="0.2">
      <c r="A54" s="105" t="s">
        <v>4</v>
      </c>
      <c r="B54" s="306" t="str">
        <f>CCT!F6</f>
        <v>Auxílio Saúde</v>
      </c>
      <c r="C54" s="306"/>
      <c r="D54" s="72">
        <f>CCT!F9</f>
        <v>0</v>
      </c>
      <c r="E54" s="104"/>
    </row>
    <row r="55" spans="1:5" x14ac:dyDescent="0.2">
      <c r="A55" s="105" t="s">
        <v>6</v>
      </c>
      <c r="B55" s="306" t="str">
        <f>CCT!G6</f>
        <v>Beneficio CCT</v>
      </c>
      <c r="C55" s="306"/>
      <c r="D55" s="72">
        <f>CCT!G9</f>
        <v>0</v>
      </c>
      <c r="E55" s="104"/>
    </row>
    <row r="56" spans="1:5" x14ac:dyDescent="0.2">
      <c r="A56" s="105" t="s">
        <v>7</v>
      </c>
      <c r="B56" s="325" t="str">
        <f>CCT!H6</f>
        <v>Beneficio CCT</v>
      </c>
      <c r="C56" s="326"/>
      <c r="D56" s="72">
        <f>CCT!H9</f>
        <v>0</v>
      </c>
      <c r="E56" s="104"/>
    </row>
    <row r="57" spans="1:5" ht="13.5" thickBot="1" x14ac:dyDescent="0.25">
      <c r="B57" s="357" t="s">
        <v>140</v>
      </c>
      <c r="C57" s="358"/>
      <c r="D57" s="52">
        <f>SUM(D52:D56)</f>
        <v>79.5</v>
      </c>
      <c r="E57" s="104"/>
    </row>
    <row r="58" spans="1:5" ht="13.5" thickBot="1" x14ac:dyDescent="0.25">
      <c r="B58" s="104"/>
      <c r="C58" s="104"/>
      <c r="D58" s="104"/>
      <c r="E58" s="104"/>
    </row>
    <row r="59" spans="1:5" ht="16.5" thickBot="1" x14ac:dyDescent="0.3">
      <c r="A59" s="320" t="s">
        <v>129</v>
      </c>
      <c r="B59" s="321"/>
      <c r="C59" s="321"/>
      <c r="D59" s="322"/>
      <c r="E59" s="104"/>
    </row>
    <row r="60" spans="1:5" x14ac:dyDescent="0.2">
      <c r="A60" s="49">
        <v>2</v>
      </c>
      <c r="B60" s="368" t="s">
        <v>141</v>
      </c>
      <c r="C60" s="368"/>
      <c r="D60" s="51" t="s">
        <v>30</v>
      </c>
      <c r="E60" s="104"/>
    </row>
    <row r="61" spans="1:5" x14ac:dyDescent="0.2">
      <c r="A61" s="12" t="s">
        <v>115</v>
      </c>
      <c r="B61" s="306" t="str">
        <f>B35</f>
        <v>13º Salário e Adicional de Férias</v>
      </c>
      <c r="C61" s="306"/>
      <c r="D61" s="42">
        <f>D38</f>
        <v>122.85353535353535</v>
      </c>
      <c r="E61" s="104"/>
    </row>
    <row r="62" spans="1:5" x14ac:dyDescent="0.2">
      <c r="A62" s="12" t="s">
        <v>116</v>
      </c>
      <c r="B62" s="306" t="str">
        <f>B40</f>
        <v>Encargos previdenciarios, FGTS e outras contribuições</v>
      </c>
      <c r="C62" s="306"/>
      <c r="D62" s="19">
        <f>E49</f>
        <v>452.10101010101016</v>
      </c>
      <c r="E62" s="104"/>
    </row>
    <row r="63" spans="1:5" x14ac:dyDescent="0.2">
      <c r="A63" s="12" t="s">
        <v>119</v>
      </c>
      <c r="B63" s="306" t="str">
        <f>B51</f>
        <v>Benefícios Mensais e Diários</v>
      </c>
      <c r="C63" s="306"/>
      <c r="D63" s="19">
        <f>D57</f>
        <v>79.5</v>
      </c>
      <c r="E63" s="104"/>
    </row>
    <row r="64" spans="1:5" ht="13.5" thickBot="1" x14ac:dyDescent="0.25">
      <c r="B64" s="357" t="s">
        <v>142</v>
      </c>
      <c r="C64" s="371"/>
      <c r="D64" s="52">
        <f>SUM(D61:D63)</f>
        <v>654.4545454545455</v>
      </c>
      <c r="E64" s="104"/>
    </row>
    <row r="65" spans="1:6" ht="13.5" thickBot="1" x14ac:dyDescent="0.25">
      <c r="B65" s="104"/>
      <c r="C65" s="104"/>
      <c r="D65" s="104"/>
      <c r="E65" s="104"/>
    </row>
    <row r="66" spans="1:6" ht="16.5" thickBot="1" x14ac:dyDescent="0.3">
      <c r="A66" s="320" t="s">
        <v>122</v>
      </c>
      <c r="B66" s="321"/>
      <c r="C66" s="321"/>
      <c r="D66" s="322"/>
    </row>
    <row r="67" spans="1:6" x14ac:dyDescent="0.2">
      <c r="A67" s="49">
        <v>3</v>
      </c>
      <c r="B67" s="368" t="s">
        <v>40</v>
      </c>
      <c r="C67" s="368"/>
      <c r="D67" s="76" t="s">
        <v>30</v>
      </c>
    </row>
    <row r="68" spans="1:6" x14ac:dyDescent="0.2">
      <c r="A68" s="12" t="s">
        <v>2</v>
      </c>
      <c r="B68" s="324" t="s">
        <v>41</v>
      </c>
      <c r="C68" s="324"/>
      <c r="D68" s="91">
        <f>E32*(10%*(1/12))</f>
        <v>9.2140151515151523</v>
      </c>
      <c r="E68" s="115"/>
    </row>
    <row r="69" spans="1:6" x14ac:dyDescent="0.2">
      <c r="A69" s="12" t="s">
        <v>3</v>
      </c>
      <c r="B69" s="306" t="s">
        <v>79</v>
      </c>
      <c r="C69" s="306"/>
      <c r="D69" s="90">
        <f>D68*0.08</f>
        <v>0.73712121212121218</v>
      </c>
      <c r="E69" s="114"/>
    </row>
    <row r="70" spans="1:6" x14ac:dyDescent="0.2">
      <c r="A70" s="12" t="s">
        <v>4</v>
      </c>
      <c r="B70" s="306" t="s">
        <v>162</v>
      </c>
      <c r="C70" s="306"/>
      <c r="D70" s="90">
        <f>D69*0.4</f>
        <v>0.29484848484848486</v>
      </c>
      <c r="E70" s="116"/>
      <c r="F70" s="54"/>
    </row>
    <row r="71" spans="1:6" x14ac:dyDescent="0.2">
      <c r="A71" s="12" t="s">
        <v>6</v>
      </c>
      <c r="B71" s="306" t="s">
        <v>42</v>
      </c>
      <c r="C71" s="306"/>
      <c r="D71" s="90">
        <f>E32*0.9*7/360</f>
        <v>19.34943181818182</v>
      </c>
    </row>
    <row r="72" spans="1:6" x14ac:dyDescent="0.2">
      <c r="A72" s="12" t="s">
        <v>7</v>
      </c>
      <c r="B72" s="306" t="s">
        <v>197</v>
      </c>
      <c r="C72" s="306"/>
      <c r="D72" s="90">
        <f>E32*(D49*((90%*7/(360)*100)/100))</f>
        <v>7.1205909090909101</v>
      </c>
      <c r="E72" s="114"/>
    </row>
    <row r="73" spans="1:6" x14ac:dyDescent="0.2">
      <c r="A73" s="12" t="s">
        <v>8</v>
      </c>
      <c r="B73" s="306" t="s">
        <v>204</v>
      </c>
      <c r="C73" s="306"/>
      <c r="D73" s="90">
        <f>E48*0.4</f>
        <v>39.313131313131322</v>
      </c>
      <c r="E73" s="114"/>
    </row>
    <row r="74" spans="1:6" ht="13.5" thickBot="1" x14ac:dyDescent="0.25">
      <c r="B74" s="357" t="s">
        <v>143</v>
      </c>
      <c r="C74" s="371"/>
      <c r="D74" s="92">
        <f>SUM(D68:D73)</f>
        <v>76.029138888888895</v>
      </c>
    </row>
    <row r="75" spans="1:6" ht="13.5" thickBot="1" x14ac:dyDescent="0.25">
      <c r="A75" s="354"/>
      <c r="B75" s="354"/>
      <c r="C75" s="354"/>
      <c r="D75" s="354"/>
      <c r="E75" s="354"/>
    </row>
    <row r="76" spans="1:6" ht="15.75" x14ac:dyDescent="0.25">
      <c r="A76" s="320" t="s">
        <v>161</v>
      </c>
      <c r="B76" s="321"/>
      <c r="C76" s="321"/>
      <c r="D76" s="322"/>
      <c r="E76" s="104"/>
    </row>
    <row r="77" spans="1:6" x14ac:dyDescent="0.2">
      <c r="A77" s="12" t="s">
        <v>144</v>
      </c>
      <c r="B77" s="314" t="s">
        <v>125</v>
      </c>
      <c r="C77" s="314"/>
      <c r="D77" s="11" t="s">
        <v>30</v>
      </c>
      <c r="E77" s="104"/>
    </row>
    <row r="78" spans="1:6" x14ac:dyDescent="0.2">
      <c r="A78" s="12" t="s">
        <v>2</v>
      </c>
      <c r="B78" s="323" t="s">
        <v>60</v>
      </c>
      <c r="C78" s="324"/>
      <c r="D78" s="42">
        <f>(((((E32+D64+D74)/Matriz!C9)*Matriz!I9)/12))</f>
        <v>148.07786310687518</v>
      </c>
      <c r="E78" s="99"/>
    </row>
    <row r="79" spans="1:6" x14ac:dyDescent="0.2">
      <c r="A79" s="12" t="s">
        <v>3</v>
      </c>
      <c r="B79" s="323" t="s">
        <v>130</v>
      </c>
      <c r="C79" s="324"/>
      <c r="D79" s="42">
        <f>((((E32+D64+D74)/Matriz!C9))*Matriz!J9)/12</f>
        <v>59.231145242750081</v>
      </c>
      <c r="E79" s="104"/>
    </row>
    <row r="80" spans="1:6" x14ac:dyDescent="0.2">
      <c r="A80" s="12" t="s">
        <v>4</v>
      </c>
      <c r="B80" s="323" t="s">
        <v>154</v>
      </c>
      <c r="C80" s="324"/>
      <c r="D80" s="42">
        <f>((((E32+D64+D74)/Matriz!C9))*Matriz!K9)/12</f>
        <v>4.1432186097303685</v>
      </c>
      <c r="E80" s="104"/>
      <c r="F80" s="75"/>
    </row>
    <row r="81" spans="1:5" x14ac:dyDescent="0.2">
      <c r="A81" s="12" t="s">
        <v>6</v>
      </c>
      <c r="B81" s="324" t="s">
        <v>123</v>
      </c>
      <c r="C81" s="324"/>
      <c r="D81" s="42">
        <f>((((E32+D64+D74)/Matriz!C9))*Matriz!L9)/12</f>
        <v>12.154231003812319</v>
      </c>
      <c r="E81" s="104"/>
    </row>
    <row r="82" spans="1:5" x14ac:dyDescent="0.2">
      <c r="A82" s="12" t="s">
        <v>7</v>
      </c>
      <c r="B82" s="324" t="s">
        <v>39</v>
      </c>
      <c r="C82" s="324"/>
      <c r="D82" s="78">
        <f>((((E32+D64+D74)/Matriz!C9))*Matriz!M9)/12</f>
        <v>3.3633418640341586</v>
      </c>
      <c r="E82" s="104"/>
    </row>
    <row r="83" spans="1:5" ht="13.5" thickBot="1" x14ac:dyDescent="0.25">
      <c r="A83" s="38" t="s">
        <v>8</v>
      </c>
      <c r="B83" s="318" t="s">
        <v>62</v>
      </c>
      <c r="C83" s="318"/>
      <c r="D83" s="177">
        <v>0</v>
      </c>
      <c r="E83" s="104"/>
    </row>
    <row r="84" spans="1:5" ht="13.5" thickBot="1" x14ac:dyDescent="0.25">
      <c r="B84" s="55" t="s">
        <v>145</v>
      </c>
      <c r="C84" s="56"/>
      <c r="D84" s="52">
        <f>SUM(D78:D83)</f>
        <v>226.96979982720214</v>
      </c>
      <c r="E84" s="104"/>
    </row>
    <row r="85" spans="1:5" ht="13.5" thickBot="1" x14ac:dyDescent="0.25">
      <c r="A85" s="103"/>
      <c r="B85" s="103"/>
      <c r="C85" s="103"/>
      <c r="D85" s="74"/>
      <c r="E85" s="103"/>
    </row>
    <row r="86" spans="1:5" ht="15.75" x14ac:dyDescent="0.25">
      <c r="A86" s="320" t="s">
        <v>124</v>
      </c>
      <c r="B86" s="321"/>
      <c r="C86" s="321"/>
      <c r="D86" s="322"/>
      <c r="E86" s="103"/>
    </row>
    <row r="87" spans="1:5" x14ac:dyDescent="0.2">
      <c r="A87" s="12">
        <v>4</v>
      </c>
      <c r="B87" s="350" t="s">
        <v>125</v>
      </c>
      <c r="C87" s="351"/>
      <c r="D87" s="11" t="s">
        <v>30</v>
      </c>
      <c r="E87" s="103"/>
    </row>
    <row r="88" spans="1:5" x14ac:dyDescent="0.2">
      <c r="A88" s="12" t="s">
        <v>144</v>
      </c>
      <c r="B88" s="363" t="s">
        <v>125</v>
      </c>
      <c r="C88" s="364"/>
      <c r="D88" s="42">
        <f>D84</f>
        <v>226.96979982720214</v>
      </c>
      <c r="E88" s="103"/>
    </row>
    <row r="89" spans="1:5" ht="13.5" thickBot="1" x14ac:dyDescent="0.25">
      <c r="A89" s="103"/>
      <c r="B89" s="369" t="s">
        <v>145</v>
      </c>
      <c r="C89" s="370"/>
      <c r="D89" s="52">
        <f>SUM(D88:D88)</f>
        <v>226.96979982720214</v>
      </c>
      <c r="E89" s="103"/>
    </row>
    <row r="90" spans="1:5" ht="13.5" thickBot="1" x14ac:dyDescent="0.25">
      <c r="A90" s="103"/>
      <c r="B90" s="103"/>
      <c r="C90" s="103"/>
      <c r="D90" s="107"/>
      <c r="E90" s="103"/>
    </row>
    <row r="91" spans="1:5" ht="15.75" x14ac:dyDescent="0.25">
      <c r="A91" s="320" t="s">
        <v>171</v>
      </c>
      <c r="B91" s="321"/>
      <c r="C91" s="321"/>
      <c r="D91" s="322"/>
    </row>
    <row r="92" spans="1:5" x14ac:dyDescent="0.2">
      <c r="A92" s="12">
        <v>5</v>
      </c>
      <c r="B92" s="314" t="s">
        <v>18</v>
      </c>
      <c r="C92" s="314"/>
      <c r="D92" s="11" t="s">
        <v>30</v>
      </c>
    </row>
    <row r="93" spans="1:5" x14ac:dyDescent="0.2">
      <c r="A93" s="12" t="s">
        <v>2</v>
      </c>
      <c r="B93" s="323" t="s">
        <v>36</v>
      </c>
      <c r="C93" s="324"/>
      <c r="D93" s="42">
        <f>Uniformes!H35</f>
        <v>0</v>
      </c>
    </row>
    <row r="94" spans="1:5" x14ac:dyDescent="0.2">
      <c r="A94" s="12" t="s">
        <v>3</v>
      </c>
      <c r="B94" s="323" t="s">
        <v>191</v>
      </c>
      <c r="C94" s="324"/>
      <c r="D94" s="77">
        <f>'EPI''s'!H26</f>
        <v>0</v>
      </c>
    </row>
    <row r="95" spans="1:5" x14ac:dyDescent="0.2">
      <c r="A95" s="12" t="s">
        <v>4</v>
      </c>
      <c r="B95" s="324" t="s">
        <v>63</v>
      </c>
      <c r="C95" s="324"/>
      <c r="D95" s="77">
        <f>SUM(((E32+D38)/30)*0.021%)/12</f>
        <v>7.1664562289562291E-4</v>
      </c>
    </row>
    <row r="96" spans="1:5" x14ac:dyDescent="0.2">
      <c r="A96" s="12" t="s">
        <v>6</v>
      </c>
      <c r="B96" s="378" t="s">
        <v>184</v>
      </c>
      <c r="C96" s="362"/>
      <c r="D96" s="169">
        <f>'EPI''s'!H26</f>
        <v>0</v>
      </c>
    </row>
    <row r="97" spans="1:7" ht="13.5" thickBot="1" x14ac:dyDescent="0.25">
      <c r="B97" s="55" t="s">
        <v>59</v>
      </c>
      <c r="C97" s="56"/>
      <c r="D97" s="52">
        <f>SUM(D93:D96)</f>
        <v>7.1664562289562291E-4</v>
      </c>
    </row>
    <row r="98" spans="1:7" ht="13.5" thickBot="1" x14ac:dyDescent="0.25">
      <c r="A98" s="307"/>
      <c r="B98" s="307"/>
      <c r="C98" s="307"/>
      <c r="D98" s="307"/>
      <c r="E98" s="307"/>
    </row>
    <row r="99" spans="1:7" ht="16.5" thickBot="1" x14ac:dyDescent="0.3">
      <c r="A99" s="375" t="s">
        <v>126</v>
      </c>
      <c r="B99" s="376"/>
      <c r="C99" s="376"/>
      <c r="D99" s="376"/>
      <c r="E99" s="377"/>
    </row>
    <row r="100" spans="1:7" x14ac:dyDescent="0.2">
      <c r="A100" s="49">
        <v>6</v>
      </c>
      <c r="B100" s="368" t="s">
        <v>43</v>
      </c>
      <c r="C100" s="368"/>
      <c r="D100" s="106" t="s">
        <v>38</v>
      </c>
      <c r="E100" s="51" t="s">
        <v>30</v>
      </c>
    </row>
    <row r="101" spans="1:7" x14ac:dyDescent="0.2">
      <c r="A101" s="12" t="s">
        <v>2</v>
      </c>
      <c r="B101" s="306" t="s">
        <v>44</v>
      </c>
      <c r="C101" s="306"/>
      <c r="D101" s="59">
        <v>0.05</v>
      </c>
      <c r="E101" s="42">
        <f>D116*D101</f>
        <v>103.157</v>
      </c>
    </row>
    <row r="102" spans="1:7" x14ac:dyDescent="0.2">
      <c r="A102" s="12" t="s">
        <v>3</v>
      </c>
      <c r="B102" s="308" t="s">
        <v>64</v>
      </c>
      <c r="C102" s="306"/>
      <c r="D102" s="170">
        <v>0.05</v>
      </c>
      <c r="E102" s="19">
        <f>(D116+E101)*D102</f>
        <v>108.31485000000001</v>
      </c>
    </row>
    <row r="103" spans="1:7" x14ac:dyDescent="0.2">
      <c r="A103" s="14" t="s">
        <v>4</v>
      </c>
      <c r="B103" s="308" t="s">
        <v>146</v>
      </c>
      <c r="C103" s="306"/>
      <c r="D103" s="100">
        <f>D104+D105+D106</f>
        <v>0.14250000000000002</v>
      </c>
      <c r="E103" s="19">
        <f>($D$116+$E$101+$E$102)*D103/(1-$D$103)</f>
        <v>377.99672142857156</v>
      </c>
    </row>
    <row r="104" spans="1:7" x14ac:dyDescent="0.2">
      <c r="A104" s="14" t="s">
        <v>149</v>
      </c>
      <c r="B104" s="308" t="s">
        <v>147</v>
      </c>
      <c r="C104" s="306"/>
      <c r="D104" s="60">
        <v>1.6500000000000001E-2</v>
      </c>
      <c r="E104" s="19">
        <f>($D$116+$E$101+$E$102)*D104/(1-$D$103)</f>
        <v>43.768041428571436</v>
      </c>
    </row>
    <row r="105" spans="1:7" x14ac:dyDescent="0.2">
      <c r="A105" s="14" t="s">
        <v>150</v>
      </c>
      <c r="B105" s="308" t="s">
        <v>148</v>
      </c>
      <c r="C105" s="306"/>
      <c r="D105" s="60">
        <v>7.5999999999999998E-2</v>
      </c>
      <c r="E105" s="19">
        <f>($D$116+$E$101+$E$102)*D105/(1-$D$103)</f>
        <v>201.59825142857147</v>
      </c>
      <c r="G105" s="73"/>
    </row>
    <row r="106" spans="1:7" x14ac:dyDescent="0.2">
      <c r="A106" s="14" t="s">
        <v>151</v>
      </c>
      <c r="B106" s="308" t="s">
        <v>203</v>
      </c>
      <c r="C106" s="308"/>
      <c r="D106" s="60">
        <v>0.05</v>
      </c>
      <c r="E106" s="19">
        <f>($D$116+$E$101+$E$102-$E$41-$E$48)*D106/(1-$D$103)</f>
        <v>112.57270851370856</v>
      </c>
    </row>
    <row r="107" spans="1:7" ht="13.5" thickBot="1" x14ac:dyDescent="0.25">
      <c r="B107" s="55" t="s">
        <v>45</v>
      </c>
      <c r="C107" s="56"/>
      <c r="D107" s="57">
        <f>D101+D102+D103</f>
        <v>0.24250000000000002</v>
      </c>
      <c r="E107" s="52">
        <f>E101+E102+E104+E105+E106</f>
        <v>569.41085137085156</v>
      </c>
      <c r="G107" s="45"/>
    </row>
    <row r="108" spans="1:7" ht="13.5" thickBot="1" x14ac:dyDescent="0.25">
      <c r="A108" s="354"/>
      <c r="B108" s="354"/>
      <c r="C108" s="354"/>
      <c r="D108" s="354"/>
      <c r="E108" s="354"/>
      <c r="G108" s="45"/>
    </row>
    <row r="109" spans="1:7" ht="15.75" x14ac:dyDescent="0.25">
      <c r="A109" s="320" t="s">
        <v>47</v>
      </c>
      <c r="B109" s="321"/>
      <c r="C109" s="321"/>
      <c r="D109" s="322"/>
      <c r="G109" s="45"/>
    </row>
    <row r="110" spans="1:7" x14ac:dyDescent="0.2">
      <c r="A110" s="12">
        <v>5</v>
      </c>
      <c r="B110" s="314" t="s">
        <v>46</v>
      </c>
      <c r="C110" s="314"/>
      <c r="D110" s="11" t="s">
        <v>30</v>
      </c>
      <c r="G110" s="45"/>
    </row>
    <row r="111" spans="1:7" x14ac:dyDescent="0.2">
      <c r="A111" s="12" t="s">
        <v>2</v>
      </c>
      <c r="B111" s="306" t="s">
        <v>27</v>
      </c>
      <c r="C111" s="306"/>
      <c r="D111" s="42">
        <f>E32</f>
        <v>1105.6818181818182</v>
      </c>
      <c r="G111" s="45"/>
    </row>
    <row r="112" spans="1:7" x14ac:dyDescent="0.2">
      <c r="A112" s="12" t="s">
        <v>3</v>
      </c>
      <c r="B112" s="308" t="s">
        <v>136</v>
      </c>
      <c r="C112" s="306"/>
      <c r="D112" s="19">
        <f>D64</f>
        <v>654.4545454545455</v>
      </c>
      <c r="G112" s="53"/>
    </row>
    <row r="113" spans="1:7" x14ac:dyDescent="0.2">
      <c r="A113" s="12" t="s">
        <v>4</v>
      </c>
      <c r="B113" s="308" t="s">
        <v>122</v>
      </c>
      <c r="C113" s="306"/>
      <c r="D113" s="19">
        <f>D74</f>
        <v>76.029138888888895</v>
      </c>
      <c r="G113" s="45"/>
    </row>
    <row r="114" spans="1:7" x14ac:dyDescent="0.2">
      <c r="A114" s="14" t="s">
        <v>6</v>
      </c>
      <c r="B114" s="308" t="s">
        <v>137</v>
      </c>
      <c r="C114" s="306"/>
      <c r="D114" s="19">
        <f>D89</f>
        <v>226.96979982720214</v>
      </c>
    </row>
    <row r="115" spans="1:7" x14ac:dyDescent="0.2">
      <c r="A115" s="89" t="s">
        <v>7</v>
      </c>
      <c r="B115" s="308" t="s">
        <v>160</v>
      </c>
      <c r="C115" s="308"/>
      <c r="D115" s="88">
        <f>D97</f>
        <v>7.1664562289562291E-4</v>
      </c>
      <c r="G115" s="53"/>
    </row>
    <row r="116" spans="1:7" x14ac:dyDescent="0.2">
      <c r="A116" s="372" t="s">
        <v>163</v>
      </c>
      <c r="B116" s="373"/>
      <c r="C116" s="374"/>
      <c r="D116" s="58">
        <f>ROUND(SUM(D111:D115),2)</f>
        <v>2063.14</v>
      </c>
    </row>
    <row r="117" spans="1:7" ht="13.5" thickBot="1" x14ac:dyDescent="0.25">
      <c r="A117" s="23" t="s">
        <v>8</v>
      </c>
      <c r="B117" s="319" t="s">
        <v>126</v>
      </c>
      <c r="C117" s="319"/>
      <c r="D117" s="20">
        <f>ROUND(E107,2)</f>
        <v>569.41</v>
      </c>
    </row>
    <row r="118" spans="1:7" ht="13.5" thickBot="1" x14ac:dyDescent="0.25">
      <c r="B118" s="365" t="s">
        <v>49</v>
      </c>
      <c r="C118" s="366"/>
      <c r="D118" s="52">
        <f>ROUND((D116+D117),2)</f>
        <v>2632.55</v>
      </c>
      <c r="E118" s="45"/>
      <c r="G118" s="54"/>
    </row>
    <row r="119" spans="1:7" ht="13.5" thickBot="1" x14ac:dyDescent="0.25">
      <c r="A119" s="354"/>
      <c r="B119" s="354"/>
      <c r="C119" s="354"/>
      <c r="D119" s="354"/>
      <c r="E119" s="354"/>
    </row>
    <row r="120" spans="1:7" ht="15.75" x14ac:dyDescent="0.25">
      <c r="A120" s="320" t="s">
        <v>58</v>
      </c>
      <c r="B120" s="321"/>
      <c r="C120" s="321"/>
      <c r="D120" s="322"/>
    </row>
    <row r="121" spans="1:7" x14ac:dyDescent="0.2">
      <c r="A121" s="12">
        <v>5</v>
      </c>
      <c r="B121" s="314" t="s">
        <v>46</v>
      </c>
      <c r="C121" s="314"/>
      <c r="D121" s="11" t="s">
        <v>30</v>
      </c>
    </row>
    <row r="122" spans="1:7" x14ac:dyDescent="0.2">
      <c r="A122" s="12" t="s">
        <v>2</v>
      </c>
      <c r="B122" s="306" t="s">
        <v>27</v>
      </c>
      <c r="C122" s="306"/>
      <c r="D122" s="42">
        <f>D111*TOTAIS!F24</f>
        <v>2211.3636363636365</v>
      </c>
    </row>
    <row r="123" spans="1:7" x14ac:dyDescent="0.2">
      <c r="A123" s="12" t="s">
        <v>3</v>
      </c>
      <c r="B123" s="306" t="s">
        <v>33</v>
      </c>
      <c r="C123" s="306"/>
      <c r="D123" s="19">
        <f>D112*TOTAIS!F24</f>
        <v>1308.909090909091</v>
      </c>
    </row>
    <row r="124" spans="1:7" x14ac:dyDescent="0.2">
      <c r="A124" s="12" t="s">
        <v>4</v>
      </c>
      <c r="B124" s="306" t="s">
        <v>35</v>
      </c>
      <c r="C124" s="306"/>
      <c r="D124" s="19">
        <f>D113*TOTAIS!F24</f>
        <v>152.05827777777779</v>
      </c>
    </row>
    <row r="125" spans="1:7" x14ac:dyDescent="0.2">
      <c r="A125" s="14" t="s">
        <v>6</v>
      </c>
      <c r="B125" s="306" t="s">
        <v>48</v>
      </c>
      <c r="C125" s="306"/>
      <c r="D125" s="19">
        <f>D114*TOTAIS!F24</f>
        <v>453.93959965440428</v>
      </c>
    </row>
    <row r="126" spans="1:7" x14ac:dyDescent="0.2">
      <c r="A126" s="89" t="s">
        <v>7</v>
      </c>
      <c r="B126" s="308" t="s">
        <v>160</v>
      </c>
      <c r="C126" s="308"/>
      <c r="D126" s="19">
        <f>D115*TOTAIS!F24</f>
        <v>1.4332912457912458E-3</v>
      </c>
    </row>
    <row r="127" spans="1:7" x14ac:dyDescent="0.2">
      <c r="A127" s="372" t="s">
        <v>57</v>
      </c>
      <c r="B127" s="373"/>
      <c r="C127" s="374"/>
      <c r="D127" s="58">
        <f>SUM(D122:D126)</f>
        <v>4126.2720379961556</v>
      </c>
    </row>
    <row r="128" spans="1:7" ht="13.5" thickBot="1" x14ac:dyDescent="0.25">
      <c r="A128" s="23" t="s">
        <v>8</v>
      </c>
      <c r="B128" s="319" t="s">
        <v>126</v>
      </c>
      <c r="C128" s="319"/>
      <c r="D128" s="20">
        <f>D117*TOTAIS!F24</f>
        <v>1138.82</v>
      </c>
    </row>
    <row r="129" spans="2:4" ht="13.5" thickBot="1" x14ac:dyDescent="0.25">
      <c r="B129" s="365" t="s">
        <v>55</v>
      </c>
      <c r="C129" s="366"/>
      <c r="D129" s="52">
        <f>D127+D128</f>
        <v>5265.0920379961553</v>
      </c>
    </row>
  </sheetData>
  <mergeCells count="121">
    <mergeCell ref="A116:C116"/>
    <mergeCell ref="B117:C117"/>
    <mergeCell ref="A119:E119"/>
    <mergeCell ref="A120:D120"/>
    <mergeCell ref="B121:C121"/>
    <mergeCell ref="A127:C127"/>
    <mergeCell ref="B128:C128"/>
    <mergeCell ref="A1:E1"/>
    <mergeCell ref="A2:E2"/>
    <mergeCell ref="A3:E3"/>
    <mergeCell ref="A4:D4"/>
    <mergeCell ref="A5:C5"/>
    <mergeCell ref="A6:C6"/>
    <mergeCell ref="A59:D59"/>
    <mergeCell ref="B60:C60"/>
    <mergeCell ref="A66:D66"/>
    <mergeCell ref="B13:C13"/>
    <mergeCell ref="B14:C14"/>
    <mergeCell ref="A15:E15"/>
    <mergeCell ref="A16:D16"/>
    <mergeCell ref="B17:C17"/>
    <mergeCell ref="B18:C18"/>
    <mergeCell ref="A7:C7"/>
    <mergeCell ref="A8:C8"/>
    <mergeCell ref="A9:E9"/>
    <mergeCell ref="A10:D10"/>
    <mergeCell ref="B11:C11"/>
    <mergeCell ref="B12:C12"/>
    <mergeCell ref="B25:C25"/>
    <mergeCell ref="B26:C26"/>
    <mergeCell ref="B27:C27"/>
    <mergeCell ref="B28:C28"/>
    <mergeCell ref="B30:C30"/>
    <mergeCell ref="B19:C19"/>
    <mergeCell ref="B20:C20"/>
    <mergeCell ref="A21:E21"/>
    <mergeCell ref="A22:E22"/>
    <mergeCell ref="B23:C23"/>
    <mergeCell ref="B24:C24"/>
    <mergeCell ref="B37:C37"/>
    <mergeCell ref="B38:C38"/>
    <mergeCell ref="B29:C29"/>
    <mergeCell ref="A39:E39"/>
    <mergeCell ref="B40:C40"/>
    <mergeCell ref="B41:C41"/>
    <mergeCell ref="B42:C42"/>
    <mergeCell ref="B31:C31"/>
    <mergeCell ref="B32:D32"/>
    <mergeCell ref="A33:E33"/>
    <mergeCell ref="A34:D34"/>
    <mergeCell ref="B35:C35"/>
    <mergeCell ref="B36:C36"/>
    <mergeCell ref="B49:C49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63:C63"/>
    <mergeCell ref="B64:C64"/>
    <mergeCell ref="B68:C68"/>
    <mergeCell ref="B69:C69"/>
    <mergeCell ref="B56:C56"/>
    <mergeCell ref="B57:C57"/>
    <mergeCell ref="B61:C61"/>
    <mergeCell ref="B62:C62"/>
    <mergeCell ref="B67:C67"/>
    <mergeCell ref="B78:C78"/>
    <mergeCell ref="B79:C79"/>
    <mergeCell ref="B80:C80"/>
    <mergeCell ref="B81:C81"/>
    <mergeCell ref="B70:C70"/>
    <mergeCell ref="B71:C71"/>
    <mergeCell ref="B72:C72"/>
    <mergeCell ref="B74:C74"/>
    <mergeCell ref="A75:E75"/>
    <mergeCell ref="A76:D76"/>
    <mergeCell ref="B77:C77"/>
    <mergeCell ref="B73:C73"/>
    <mergeCell ref="B100:C100"/>
    <mergeCell ref="A108:E108"/>
    <mergeCell ref="B93:C93"/>
    <mergeCell ref="B94:C94"/>
    <mergeCell ref="B95:C95"/>
    <mergeCell ref="B96:C96"/>
    <mergeCell ref="B82:C82"/>
    <mergeCell ref="B83:C83"/>
    <mergeCell ref="A86:D86"/>
    <mergeCell ref="B87:C87"/>
    <mergeCell ref="A91:D91"/>
    <mergeCell ref="B92:C92"/>
    <mergeCell ref="A109:D109"/>
    <mergeCell ref="B110:C110"/>
    <mergeCell ref="B129:C129"/>
    <mergeCell ref="B89:C89"/>
    <mergeCell ref="B88:C88"/>
    <mergeCell ref="B123:C123"/>
    <mergeCell ref="B124:C124"/>
    <mergeCell ref="B125:C125"/>
    <mergeCell ref="B126:C126"/>
    <mergeCell ref="B118:C118"/>
    <mergeCell ref="B122:C122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A99:E99"/>
    <mergeCell ref="B101:C101"/>
    <mergeCell ref="B102:C102"/>
    <mergeCell ref="B103:C103"/>
    <mergeCell ref="A98:E98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3"/>
  <dimension ref="A1:G129"/>
  <sheetViews>
    <sheetView showGridLines="0" topLeftCell="A13" workbookViewId="0">
      <selection activeCell="D29" sqref="D29"/>
    </sheetView>
  </sheetViews>
  <sheetFormatPr defaultRowHeight="12.75" x14ac:dyDescent="0.2"/>
  <cols>
    <col min="1" max="1" width="3.7109375" style="104" customWidth="1"/>
    <col min="2" max="2" width="24.7109375" style="16" customWidth="1"/>
    <col min="3" max="3" width="28.7109375" style="16" customWidth="1"/>
    <col min="4" max="4" width="32.85546875" style="16" bestFit="1" customWidth="1"/>
    <col min="5" max="5" width="28.7109375" style="16" customWidth="1"/>
    <col min="6" max="6" width="9.140625" style="16"/>
    <col min="7" max="7" width="12.28515625" style="16" bestFit="1" customWidth="1"/>
    <col min="8" max="8" width="12.140625" style="16" bestFit="1" customWidth="1"/>
    <col min="9" max="10" width="10.5703125" style="16" bestFit="1" customWidth="1"/>
    <col min="11" max="11" width="9.5703125" style="16" bestFit="1" customWidth="1"/>
    <col min="12" max="16384" width="9.140625" style="16"/>
  </cols>
  <sheetData>
    <row r="1" spans="1:5" ht="20.25" x14ac:dyDescent="0.3">
      <c r="A1" s="336" t="s">
        <v>0</v>
      </c>
      <c r="B1" s="337"/>
      <c r="C1" s="337"/>
      <c r="D1" s="337"/>
      <c r="E1" s="338"/>
    </row>
    <row r="2" spans="1:5" ht="20.25" x14ac:dyDescent="0.3">
      <c r="A2" s="339" t="str">
        <f>TOTAIS!A6</f>
        <v>FORNECEDOR</v>
      </c>
      <c r="B2" s="340"/>
      <c r="C2" s="340"/>
      <c r="D2" s="340"/>
      <c r="E2" s="341"/>
    </row>
    <row r="3" spans="1:5" ht="21" thickBot="1" x14ac:dyDescent="0.35">
      <c r="A3" s="342" t="str">
        <f>D19</f>
        <v>Auxiliar de Arquivo - 12 x 36 - NOTURNO (Segunda a domingo)</v>
      </c>
      <c r="B3" s="343"/>
      <c r="C3" s="343"/>
      <c r="D3" s="343"/>
      <c r="E3" s="344"/>
    </row>
    <row r="4" spans="1:5" ht="13.5" thickBot="1" x14ac:dyDescent="0.25">
      <c r="A4" s="292"/>
      <c r="B4" s="292"/>
      <c r="C4" s="292"/>
      <c r="D4" s="292"/>
      <c r="E4" s="25"/>
    </row>
    <row r="5" spans="1:5" x14ac:dyDescent="0.2">
      <c r="A5" s="327" t="s">
        <v>1</v>
      </c>
      <c r="B5" s="328"/>
      <c r="C5" s="328"/>
      <c r="D5" s="26" t="str">
        <f>TOTAIS!D9</f>
        <v>23759.020964/2019-25</v>
      </c>
      <c r="E5" s="27"/>
    </row>
    <row r="6" spans="1:5" x14ac:dyDescent="0.2">
      <c r="A6" s="334" t="s">
        <v>19</v>
      </c>
      <c r="B6" s="335"/>
      <c r="C6" s="335"/>
      <c r="D6" s="28" t="str">
        <f>TOTAIS!D10</f>
        <v>Pregão nº ___/20XX</v>
      </c>
      <c r="E6" s="27"/>
    </row>
    <row r="7" spans="1:5" x14ac:dyDescent="0.2">
      <c r="A7" s="345" t="s">
        <v>61</v>
      </c>
      <c r="B7" s="346"/>
      <c r="C7" s="346"/>
      <c r="D7" s="28" t="str">
        <f>TOTAIS!E9</f>
        <v>Lucro Real</v>
      </c>
      <c r="E7" s="27"/>
    </row>
    <row r="8" spans="1:5" ht="13.5" thickBot="1" x14ac:dyDescent="0.25">
      <c r="A8" s="309" t="s">
        <v>56</v>
      </c>
      <c r="B8" s="310"/>
      <c r="C8" s="310"/>
      <c r="D8" s="29">
        <f>TOTAIS!E25</f>
        <v>1</v>
      </c>
      <c r="E8" s="27"/>
    </row>
    <row r="9" spans="1:5" ht="13.5" thickBot="1" x14ac:dyDescent="0.25">
      <c r="A9" s="311"/>
      <c r="B9" s="311"/>
      <c r="C9" s="311"/>
      <c r="D9" s="311"/>
      <c r="E9" s="311"/>
    </row>
    <row r="10" spans="1:5" ht="15.75" x14ac:dyDescent="0.25">
      <c r="A10" s="329" t="s">
        <v>20</v>
      </c>
      <c r="B10" s="330"/>
      <c r="C10" s="330"/>
      <c r="D10" s="331"/>
      <c r="E10" s="27"/>
    </row>
    <row r="11" spans="1:5" x14ac:dyDescent="0.2">
      <c r="A11" s="30" t="s">
        <v>2</v>
      </c>
      <c r="B11" s="312" t="s">
        <v>52</v>
      </c>
      <c r="C11" s="313"/>
      <c r="D11" s="31" t="str">
        <f>TOTAIS!D12</f>
        <v>__/__/20__</v>
      </c>
      <c r="E11" s="27"/>
    </row>
    <row r="12" spans="1:5" x14ac:dyDescent="0.2">
      <c r="A12" s="30" t="s">
        <v>3</v>
      </c>
      <c r="B12" s="312" t="s">
        <v>50</v>
      </c>
      <c r="C12" s="313"/>
      <c r="D12" s="32" t="str">
        <f>TOTAIS!D16</f>
        <v>Curitiba/PR</v>
      </c>
      <c r="E12" s="27"/>
    </row>
    <row r="13" spans="1:5" x14ac:dyDescent="0.2">
      <c r="A13" s="30" t="s">
        <v>4</v>
      </c>
      <c r="B13" s="312" t="s">
        <v>5</v>
      </c>
      <c r="C13" s="313"/>
      <c r="D13" s="33" t="str">
        <f>TOTAIS!D17</f>
        <v>CCT 2019/2020</v>
      </c>
      <c r="E13" s="27"/>
    </row>
    <row r="14" spans="1:5" ht="13.5" thickBot="1" x14ac:dyDescent="0.25">
      <c r="A14" s="34" t="s">
        <v>6</v>
      </c>
      <c r="B14" s="332" t="s">
        <v>53</v>
      </c>
      <c r="C14" s="333"/>
      <c r="D14" s="35">
        <f>TOTAIS!D18</f>
        <v>12</v>
      </c>
      <c r="E14" s="27"/>
    </row>
    <row r="15" spans="1:5" ht="13.5" thickBot="1" x14ac:dyDescent="0.25">
      <c r="A15" s="311"/>
      <c r="B15" s="311"/>
      <c r="C15" s="311"/>
      <c r="D15" s="311"/>
      <c r="E15" s="311"/>
    </row>
    <row r="16" spans="1:5" ht="15.75" x14ac:dyDescent="0.25">
      <c r="A16" s="347" t="s">
        <v>24</v>
      </c>
      <c r="B16" s="348"/>
      <c r="C16" s="348"/>
      <c r="D16" s="349"/>
    </row>
    <row r="17" spans="1:6" x14ac:dyDescent="0.2">
      <c r="A17" s="12">
        <v>1</v>
      </c>
      <c r="B17" s="306" t="s">
        <v>22</v>
      </c>
      <c r="C17" s="306"/>
      <c r="D17" s="36" t="s">
        <v>156</v>
      </c>
    </row>
    <row r="18" spans="1:6" x14ac:dyDescent="0.2">
      <c r="A18" s="12">
        <v>2</v>
      </c>
      <c r="B18" s="306" t="s">
        <v>25</v>
      </c>
      <c r="C18" s="306"/>
      <c r="D18" s="102">
        <f>TOTAIS!H25</f>
        <v>1000</v>
      </c>
    </row>
    <row r="19" spans="1:6" x14ac:dyDescent="0.2">
      <c r="A19" s="12">
        <v>3</v>
      </c>
      <c r="B19" s="306" t="s">
        <v>26</v>
      </c>
      <c r="C19" s="306"/>
      <c r="D19" s="123" t="str">
        <f>TOTAIS!A25</f>
        <v>Auxiliar de Arquivo - 12 x 36 - NOTURNO (Segunda a domingo)</v>
      </c>
    </row>
    <row r="20" spans="1:6" ht="13.5" thickBot="1" x14ac:dyDescent="0.25">
      <c r="A20" s="38">
        <v>4</v>
      </c>
      <c r="B20" s="319" t="s">
        <v>51</v>
      </c>
      <c r="C20" s="319"/>
      <c r="D20" s="39" t="str">
        <f>TOTAIS!F16</f>
        <v>Validade CCT</v>
      </c>
    </row>
    <row r="21" spans="1:6" ht="13.5" thickBot="1" x14ac:dyDescent="0.25">
      <c r="A21" s="307"/>
      <c r="B21" s="307"/>
      <c r="C21" s="307"/>
      <c r="D21" s="307"/>
      <c r="E21" s="307"/>
    </row>
    <row r="22" spans="1:6" ht="15.75" x14ac:dyDescent="0.25">
      <c r="A22" s="315" t="s">
        <v>27</v>
      </c>
      <c r="B22" s="316"/>
      <c r="C22" s="316"/>
      <c r="D22" s="316"/>
      <c r="E22" s="317"/>
    </row>
    <row r="23" spans="1:6" x14ac:dyDescent="0.2">
      <c r="A23" s="12">
        <v>1</v>
      </c>
      <c r="B23" s="314" t="s">
        <v>28</v>
      </c>
      <c r="C23" s="314"/>
      <c r="D23" s="40" t="s">
        <v>29</v>
      </c>
      <c r="E23" s="11" t="s">
        <v>30</v>
      </c>
    </row>
    <row r="24" spans="1:6" x14ac:dyDescent="0.2">
      <c r="A24" s="12" t="s">
        <v>2</v>
      </c>
      <c r="B24" s="306" t="s">
        <v>31</v>
      </c>
      <c r="C24" s="306"/>
      <c r="D24" s="41"/>
      <c r="E24" s="42">
        <f>TOTAIS!H25</f>
        <v>1000</v>
      </c>
    </row>
    <row r="25" spans="1:6" x14ac:dyDescent="0.2">
      <c r="A25" s="12" t="s">
        <v>3</v>
      </c>
      <c r="B25" s="306" t="s">
        <v>10</v>
      </c>
      <c r="C25" s="306"/>
      <c r="D25" s="69">
        <f>Matriz!F10</f>
        <v>0</v>
      </c>
      <c r="E25" s="19">
        <f>E24*D25</f>
        <v>0</v>
      </c>
    </row>
    <row r="26" spans="1:6" x14ac:dyDescent="0.2">
      <c r="A26" s="12" t="s">
        <v>4</v>
      </c>
      <c r="B26" s="306" t="s">
        <v>11</v>
      </c>
      <c r="C26" s="306"/>
      <c r="D26" s="69">
        <f>Matriz!G10</f>
        <v>0</v>
      </c>
      <c r="E26" s="19">
        <f>D26*TOTAIS!F48</f>
        <v>0</v>
      </c>
    </row>
    <row r="27" spans="1:6" x14ac:dyDescent="0.2">
      <c r="A27" s="14" t="s">
        <v>7</v>
      </c>
      <c r="B27" s="306" t="s">
        <v>32</v>
      </c>
      <c r="C27" s="306"/>
      <c r="D27" s="69">
        <f>Matriz!H10</f>
        <v>0.2</v>
      </c>
      <c r="E27" s="19">
        <f>(((((SUM(E24:E26)/220)*(D27))*7)*7)*4.35)/2</f>
        <v>96.886363636363626</v>
      </c>
    </row>
    <row r="28" spans="1:6" x14ac:dyDescent="0.2">
      <c r="A28" s="14" t="s">
        <v>8</v>
      </c>
      <c r="B28" s="306" t="s">
        <v>196</v>
      </c>
      <c r="C28" s="306"/>
      <c r="D28" s="41">
        <v>0</v>
      </c>
      <c r="E28" s="19">
        <f>IF(E27&lt;&gt; 0,((((((SUM(E24:E26)/220)*D27)+(SUM(E24:E26)/220))*0.875)*7)*4.35)/2,0)</f>
        <v>72.664772727272734</v>
      </c>
      <c r="F28" s="54"/>
    </row>
    <row r="29" spans="1:6" x14ac:dyDescent="0.2">
      <c r="A29" s="172" t="s">
        <v>9</v>
      </c>
      <c r="B29" s="325" t="s">
        <v>198</v>
      </c>
      <c r="C29" s="326"/>
      <c r="D29" s="173">
        <v>0.5</v>
      </c>
      <c r="E29" s="19">
        <f>((((SUM(E24:E27)/TOTAIS!G25)*(D29+1)*Matriz!C10)))</f>
        <v>115.92094524793389</v>
      </c>
      <c r="F29" s="54"/>
    </row>
    <row r="30" spans="1:6" ht="13.5" thickBot="1" x14ac:dyDescent="0.25">
      <c r="A30" s="23" t="s">
        <v>9</v>
      </c>
      <c r="B30" s="323" t="s">
        <v>131</v>
      </c>
      <c r="C30" s="324"/>
      <c r="D30" s="43">
        <v>0</v>
      </c>
      <c r="E30" s="19">
        <f>IF(CCT!I10="SIM",(E24+E25+E26)*((((11*71.429%)+3)/365.25)*100)%*50%*100%,0)</f>
        <v>0</v>
      </c>
      <c r="F30" s="53"/>
    </row>
    <row r="31" spans="1:6" ht="13.5" thickBot="1" x14ac:dyDescent="0.25">
      <c r="A31" s="23" t="s">
        <v>13</v>
      </c>
      <c r="B31" s="318" t="s">
        <v>62</v>
      </c>
      <c r="C31" s="318"/>
      <c r="D31" s="171">
        <v>0</v>
      </c>
      <c r="E31" s="112">
        <f>D31*E24</f>
        <v>0</v>
      </c>
    </row>
    <row r="32" spans="1:6" ht="13.5" thickBot="1" x14ac:dyDescent="0.25">
      <c r="B32" s="359" t="s">
        <v>138</v>
      </c>
      <c r="C32" s="360"/>
      <c r="D32" s="360"/>
      <c r="E32" s="44">
        <f>SUM(E24:E31)</f>
        <v>1285.47208161157</v>
      </c>
    </row>
    <row r="33" spans="1:5" ht="13.5" thickBot="1" x14ac:dyDescent="0.25">
      <c r="A33" s="354"/>
      <c r="B33" s="354"/>
      <c r="C33" s="354"/>
      <c r="D33" s="354"/>
      <c r="E33" s="354"/>
    </row>
    <row r="34" spans="1:5" ht="15.75" x14ac:dyDescent="0.25">
      <c r="A34" s="320" t="s">
        <v>128</v>
      </c>
      <c r="B34" s="321"/>
      <c r="C34" s="321"/>
      <c r="D34" s="322"/>
    </row>
    <row r="35" spans="1:5" x14ac:dyDescent="0.2">
      <c r="A35" s="12" t="s">
        <v>115</v>
      </c>
      <c r="B35" s="350" t="s">
        <v>157</v>
      </c>
      <c r="C35" s="351"/>
      <c r="D35" s="11" t="s">
        <v>30</v>
      </c>
    </row>
    <row r="36" spans="1:5" x14ac:dyDescent="0.2">
      <c r="A36" s="12" t="s">
        <v>2</v>
      </c>
      <c r="B36" s="325" t="s">
        <v>180</v>
      </c>
      <c r="C36" s="326"/>
      <c r="D36" s="42">
        <f>E32/12</f>
        <v>107.12267346763083</v>
      </c>
    </row>
    <row r="37" spans="1:5" ht="13.5" thickBot="1" x14ac:dyDescent="0.25">
      <c r="A37" s="12" t="s">
        <v>3</v>
      </c>
      <c r="B37" s="325" t="s">
        <v>181</v>
      </c>
      <c r="C37" s="326"/>
      <c r="D37" s="19">
        <f>E32*1/3/12</f>
        <v>35.707557822543613</v>
      </c>
      <c r="E37" s="113"/>
    </row>
    <row r="38" spans="1:5" ht="13.5" thickBot="1" x14ac:dyDescent="0.25">
      <c r="B38" s="355" t="s">
        <v>37</v>
      </c>
      <c r="C38" s="356"/>
      <c r="D38" s="44">
        <f>SUM(D36:D37)</f>
        <v>142.83023129017445</v>
      </c>
    </row>
    <row r="39" spans="1:5" x14ac:dyDescent="0.2">
      <c r="A39" s="354"/>
      <c r="B39" s="354"/>
      <c r="C39" s="354"/>
      <c r="D39" s="354"/>
      <c r="E39" s="354"/>
    </row>
    <row r="40" spans="1:5" x14ac:dyDescent="0.2">
      <c r="A40" s="12" t="s">
        <v>116</v>
      </c>
      <c r="B40" s="350" t="s">
        <v>127</v>
      </c>
      <c r="C40" s="351"/>
      <c r="D40" s="11" t="s">
        <v>38</v>
      </c>
      <c r="E40" s="11" t="s">
        <v>30</v>
      </c>
    </row>
    <row r="41" spans="1:5" x14ac:dyDescent="0.2">
      <c r="A41" s="12" t="s">
        <v>2</v>
      </c>
      <c r="B41" s="306" t="s">
        <v>54</v>
      </c>
      <c r="C41" s="306"/>
      <c r="D41" s="46">
        <v>0.2</v>
      </c>
      <c r="E41" s="47">
        <f>($E$32+$D$38)*D41</f>
        <v>285.66046258034891</v>
      </c>
    </row>
    <row r="42" spans="1:5" x14ac:dyDescent="0.2">
      <c r="A42" s="12" t="s">
        <v>3</v>
      </c>
      <c r="B42" s="306" t="s">
        <v>17</v>
      </c>
      <c r="C42" s="306"/>
      <c r="D42" s="46">
        <v>2.5000000000000001E-2</v>
      </c>
      <c r="E42" s="47">
        <f t="shared" ref="E42:E48" si="0">($E$32+$D$38)*D42</f>
        <v>35.707557822543613</v>
      </c>
    </row>
    <row r="43" spans="1:5" x14ac:dyDescent="0.2">
      <c r="A43" s="12" t="s">
        <v>4</v>
      </c>
      <c r="B43" s="306" t="s">
        <v>182</v>
      </c>
      <c r="C43" s="306"/>
      <c r="D43" s="170">
        <v>0.03</v>
      </c>
      <c r="E43" s="47">
        <f t="shared" si="0"/>
        <v>42.849069387052332</v>
      </c>
    </row>
    <row r="44" spans="1:5" x14ac:dyDescent="0.2">
      <c r="A44" s="12" t="s">
        <v>6</v>
      </c>
      <c r="B44" s="306" t="s">
        <v>117</v>
      </c>
      <c r="C44" s="306"/>
      <c r="D44" s="46">
        <v>1.4999999999999999E-2</v>
      </c>
      <c r="E44" s="47">
        <f t="shared" si="0"/>
        <v>21.424534693526166</v>
      </c>
    </row>
    <row r="45" spans="1:5" x14ac:dyDescent="0.2">
      <c r="A45" s="14" t="s">
        <v>7</v>
      </c>
      <c r="B45" s="306" t="s">
        <v>118</v>
      </c>
      <c r="C45" s="306"/>
      <c r="D45" s="46">
        <v>0.01</v>
      </c>
      <c r="E45" s="47">
        <f t="shared" si="0"/>
        <v>14.283023129017446</v>
      </c>
    </row>
    <row r="46" spans="1:5" x14ac:dyDescent="0.2">
      <c r="A46" s="14" t="s">
        <v>8</v>
      </c>
      <c r="B46" s="306" t="s">
        <v>16</v>
      </c>
      <c r="C46" s="306"/>
      <c r="D46" s="46">
        <v>6.0000000000000001E-3</v>
      </c>
      <c r="E46" s="47">
        <f t="shared" si="0"/>
        <v>8.5698138774104677</v>
      </c>
    </row>
    <row r="47" spans="1:5" ht="13.5" thickBot="1" x14ac:dyDescent="0.25">
      <c r="A47" s="23" t="s">
        <v>9</v>
      </c>
      <c r="B47" s="306" t="s">
        <v>15</v>
      </c>
      <c r="C47" s="306"/>
      <c r="D47" s="46">
        <v>2E-3</v>
      </c>
      <c r="E47" s="47">
        <f t="shared" si="0"/>
        <v>2.856604625803489</v>
      </c>
    </row>
    <row r="48" spans="1:5" ht="13.5" thickBot="1" x14ac:dyDescent="0.25">
      <c r="A48" s="12" t="s">
        <v>13</v>
      </c>
      <c r="B48" s="319" t="s">
        <v>14</v>
      </c>
      <c r="C48" s="319"/>
      <c r="D48" s="48">
        <v>0.08</v>
      </c>
      <c r="E48" s="47">
        <f t="shared" si="0"/>
        <v>114.26418503213957</v>
      </c>
    </row>
    <row r="49" spans="1:5" ht="13.5" thickBot="1" x14ac:dyDescent="0.25">
      <c r="B49" s="352" t="s">
        <v>139</v>
      </c>
      <c r="C49" s="353"/>
      <c r="D49" s="84">
        <f>SUM(D41:D48)</f>
        <v>0.36800000000000005</v>
      </c>
      <c r="E49" s="65">
        <f>SUM(E41:E48)</f>
        <v>525.61525114784195</v>
      </c>
    </row>
    <row r="50" spans="1:5" x14ac:dyDescent="0.2">
      <c r="B50" s="104"/>
      <c r="C50" s="104"/>
      <c r="D50" s="104"/>
      <c r="E50" s="104"/>
    </row>
    <row r="51" spans="1:5" x14ac:dyDescent="0.2">
      <c r="A51" s="12" t="s">
        <v>119</v>
      </c>
      <c r="B51" s="350" t="s">
        <v>34</v>
      </c>
      <c r="C51" s="351"/>
      <c r="D51" s="11" t="s">
        <v>30</v>
      </c>
      <c r="E51" s="104"/>
    </row>
    <row r="52" spans="1:5" x14ac:dyDescent="0.2">
      <c r="A52" s="12" t="s">
        <v>2</v>
      </c>
      <c r="B52" s="325" t="s">
        <v>120</v>
      </c>
      <c r="C52" s="326"/>
      <c r="D52" s="42">
        <f>Matriz!E22</f>
        <v>79.5</v>
      </c>
      <c r="E52" s="104"/>
    </row>
    <row r="53" spans="1:5" x14ac:dyDescent="0.2">
      <c r="A53" s="12" t="s">
        <v>3</v>
      </c>
      <c r="B53" s="325" t="s">
        <v>121</v>
      </c>
      <c r="C53" s="326"/>
      <c r="D53" s="19">
        <f>CCT!E10</f>
        <v>0</v>
      </c>
      <c r="E53" s="104"/>
    </row>
    <row r="54" spans="1:5" x14ac:dyDescent="0.2">
      <c r="A54" s="105" t="s">
        <v>4</v>
      </c>
      <c r="B54" s="306" t="str">
        <f>CCT!F6</f>
        <v>Auxílio Saúde</v>
      </c>
      <c r="C54" s="306"/>
      <c r="D54" s="72">
        <f>CCT!F10</f>
        <v>0</v>
      </c>
      <c r="E54" s="104"/>
    </row>
    <row r="55" spans="1:5" x14ac:dyDescent="0.2">
      <c r="A55" s="105" t="s">
        <v>6</v>
      </c>
      <c r="B55" s="306" t="str">
        <f>CCT!G6</f>
        <v>Beneficio CCT</v>
      </c>
      <c r="C55" s="306"/>
      <c r="D55" s="72">
        <f>CCT!G10</f>
        <v>0</v>
      </c>
      <c r="E55" s="104"/>
    </row>
    <row r="56" spans="1:5" x14ac:dyDescent="0.2">
      <c r="A56" s="105" t="s">
        <v>7</v>
      </c>
      <c r="B56" s="325" t="str">
        <f>CCT!H6</f>
        <v>Beneficio CCT</v>
      </c>
      <c r="C56" s="326"/>
      <c r="D56" s="72">
        <f>CCT!H10</f>
        <v>0</v>
      </c>
      <c r="E56" s="104"/>
    </row>
    <row r="57" spans="1:5" ht="13.5" thickBot="1" x14ac:dyDescent="0.25">
      <c r="B57" s="357" t="s">
        <v>140</v>
      </c>
      <c r="C57" s="358"/>
      <c r="D57" s="52">
        <f>SUM(D52:D56)</f>
        <v>79.5</v>
      </c>
      <c r="E57" s="104"/>
    </row>
    <row r="58" spans="1:5" ht="13.5" thickBot="1" x14ac:dyDescent="0.25">
      <c r="B58" s="104"/>
      <c r="C58" s="104"/>
      <c r="D58" s="104"/>
      <c r="E58" s="104"/>
    </row>
    <row r="59" spans="1:5" ht="16.5" thickBot="1" x14ac:dyDescent="0.3">
      <c r="A59" s="320" t="s">
        <v>129</v>
      </c>
      <c r="B59" s="321"/>
      <c r="C59" s="321"/>
      <c r="D59" s="322"/>
      <c r="E59" s="104"/>
    </row>
    <row r="60" spans="1:5" x14ac:dyDescent="0.2">
      <c r="A60" s="49">
        <v>2</v>
      </c>
      <c r="B60" s="368" t="s">
        <v>141</v>
      </c>
      <c r="C60" s="368"/>
      <c r="D60" s="51" t="s">
        <v>30</v>
      </c>
      <c r="E60" s="104"/>
    </row>
    <row r="61" spans="1:5" x14ac:dyDescent="0.2">
      <c r="A61" s="12" t="s">
        <v>115</v>
      </c>
      <c r="B61" s="306" t="str">
        <f>B35</f>
        <v>13º Salário e Adicional de Férias</v>
      </c>
      <c r="C61" s="306"/>
      <c r="D61" s="42">
        <f>D38</f>
        <v>142.83023129017445</v>
      </c>
      <c r="E61" s="104"/>
    </row>
    <row r="62" spans="1:5" x14ac:dyDescent="0.2">
      <c r="A62" s="12" t="s">
        <v>116</v>
      </c>
      <c r="B62" s="306" t="str">
        <f>B40</f>
        <v>Encargos previdenciarios, FGTS e outras contribuições</v>
      </c>
      <c r="C62" s="306"/>
      <c r="D62" s="19">
        <f>E49</f>
        <v>525.61525114784195</v>
      </c>
      <c r="E62" s="104"/>
    </row>
    <row r="63" spans="1:5" x14ac:dyDescent="0.2">
      <c r="A63" s="12" t="s">
        <v>119</v>
      </c>
      <c r="B63" s="306" t="str">
        <f>B51</f>
        <v>Benefícios Mensais e Diários</v>
      </c>
      <c r="C63" s="306"/>
      <c r="D63" s="19">
        <f>D57</f>
        <v>79.5</v>
      </c>
      <c r="E63" s="104"/>
    </row>
    <row r="64" spans="1:5" ht="13.5" thickBot="1" x14ac:dyDescent="0.25">
      <c r="B64" s="357" t="s">
        <v>142</v>
      </c>
      <c r="C64" s="371"/>
      <c r="D64" s="52">
        <f>SUM(D61:D63)</f>
        <v>747.94548243801637</v>
      </c>
      <c r="E64" s="104"/>
    </row>
    <row r="65" spans="1:6" ht="13.5" thickBot="1" x14ac:dyDescent="0.25">
      <c r="B65" s="104"/>
      <c r="C65" s="104"/>
      <c r="D65" s="104"/>
      <c r="E65" s="104"/>
    </row>
    <row r="66" spans="1:6" ht="16.5" thickBot="1" x14ac:dyDescent="0.3">
      <c r="A66" s="320" t="s">
        <v>122</v>
      </c>
      <c r="B66" s="321"/>
      <c r="C66" s="321"/>
      <c r="D66" s="322"/>
    </row>
    <row r="67" spans="1:6" x14ac:dyDescent="0.2">
      <c r="A67" s="49">
        <v>3</v>
      </c>
      <c r="B67" s="368" t="s">
        <v>40</v>
      </c>
      <c r="C67" s="368"/>
      <c r="D67" s="76" t="s">
        <v>30</v>
      </c>
    </row>
    <row r="68" spans="1:6" x14ac:dyDescent="0.2">
      <c r="A68" s="12" t="s">
        <v>2</v>
      </c>
      <c r="B68" s="324" t="s">
        <v>41</v>
      </c>
      <c r="C68" s="324"/>
      <c r="D68" s="91">
        <f>E32*(10%*(1/12))</f>
        <v>10.712267346763083</v>
      </c>
      <c r="E68" s="115"/>
    </row>
    <row r="69" spans="1:6" x14ac:dyDescent="0.2">
      <c r="A69" s="12" t="s">
        <v>3</v>
      </c>
      <c r="B69" s="306" t="s">
        <v>79</v>
      </c>
      <c r="C69" s="306"/>
      <c r="D69" s="90">
        <f>D68*0.08</f>
        <v>0.8569813877410466</v>
      </c>
      <c r="E69" s="114"/>
    </row>
    <row r="70" spans="1:6" x14ac:dyDescent="0.2">
      <c r="A70" s="12" t="s">
        <v>4</v>
      </c>
      <c r="B70" s="306" t="s">
        <v>162</v>
      </c>
      <c r="C70" s="306"/>
      <c r="D70" s="90">
        <f>D69*0.4</f>
        <v>0.34279255509641865</v>
      </c>
      <c r="E70" s="116"/>
      <c r="F70" s="54"/>
    </row>
    <row r="71" spans="1:6" x14ac:dyDescent="0.2">
      <c r="A71" s="12" t="s">
        <v>6</v>
      </c>
      <c r="B71" s="306" t="s">
        <v>42</v>
      </c>
      <c r="C71" s="306"/>
      <c r="D71" s="90">
        <f>E32*0.9*7/360</f>
        <v>22.495761428202478</v>
      </c>
    </row>
    <row r="72" spans="1:6" x14ac:dyDescent="0.2">
      <c r="A72" s="12" t="s">
        <v>7</v>
      </c>
      <c r="B72" s="306" t="s">
        <v>197</v>
      </c>
      <c r="C72" s="306"/>
      <c r="D72" s="90">
        <f>E32*(D49*((90%*7/(360)*100)/100))</f>
        <v>8.2784402055785122</v>
      </c>
      <c r="E72" s="114"/>
    </row>
    <row r="73" spans="1:6" x14ac:dyDescent="0.2">
      <c r="A73" s="12" t="s">
        <v>8</v>
      </c>
      <c r="B73" s="306" t="s">
        <v>204</v>
      </c>
      <c r="C73" s="306"/>
      <c r="D73" s="90">
        <f>E48*0.4</f>
        <v>45.70567401285583</v>
      </c>
      <c r="E73" s="114"/>
    </row>
    <row r="74" spans="1:6" ht="13.5" thickBot="1" x14ac:dyDescent="0.25">
      <c r="B74" s="357" t="s">
        <v>143</v>
      </c>
      <c r="C74" s="371"/>
      <c r="D74" s="92">
        <f>SUM(D68:D73)</f>
        <v>88.391916936237365</v>
      </c>
    </row>
    <row r="75" spans="1:6" ht="13.5" thickBot="1" x14ac:dyDescent="0.25">
      <c r="A75" s="354"/>
      <c r="B75" s="354"/>
      <c r="C75" s="354"/>
      <c r="D75" s="354"/>
      <c r="E75" s="354"/>
    </row>
    <row r="76" spans="1:6" ht="15.75" x14ac:dyDescent="0.25">
      <c r="A76" s="320" t="s">
        <v>161</v>
      </c>
      <c r="B76" s="321"/>
      <c r="C76" s="321"/>
      <c r="D76" s="322"/>
      <c r="E76" s="104"/>
    </row>
    <row r="77" spans="1:6" x14ac:dyDescent="0.2">
      <c r="A77" s="12" t="s">
        <v>144</v>
      </c>
      <c r="B77" s="314" t="s">
        <v>125</v>
      </c>
      <c r="C77" s="314"/>
      <c r="D77" s="11" t="s">
        <v>30</v>
      </c>
      <c r="E77" s="104"/>
    </row>
    <row r="78" spans="1:6" x14ac:dyDescent="0.2">
      <c r="A78" s="12" t="s">
        <v>2</v>
      </c>
      <c r="B78" s="323" t="s">
        <v>60</v>
      </c>
      <c r="C78" s="324"/>
      <c r="D78" s="42">
        <f>(((((E32+D64+D74)/Matriz!C10)*Matriz!I10)/12))</f>
        <v>171.11366782143739</v>
      </c>
      <c r="E78" s="99"/>
    </row>
    <row r="79" spans="1:6" x14ac:dyDescent="0.2">
      <c r="A79" s="12" t="s">
        <v>3</v>
      </c>
      <c r="B79" s="323" t="s">
        <v>130</v>
      </c>
      <c r="C79" s="324"/>
      <c r="D79" s="42">
        <f>((((E32+D64+D74)/Matriz!C10))*Matriz!J10)/12</f>
        <v>68.445467128574961</v>
      </c>
      <c r="E79" s="104"/>
    </row>
    <row r="80" spans="1:6" x14ac:dyDescent="0.2">
      <c r="A80" s="12" t="s">
        <v>4</v>
      </c>
      <c r="B80" s="323" t="s">
        <v>154</v>
      </c>
      <c r="C80" s="324"/>
      <c r="D80" s="42">
        <f>((((E32+D64+D74)/Matriz!C10))*Matriz!K10)/12</f>
        <v>4.7877604256438184</v>
      </c>
      <c r="E80" s="104"/>
      <c r="F80" s="75"/>
    </row>
    <row r="81" spans="1:5" x14ac:dyDescent="0.2">
      <c r="A81" s="12" t="s">
        <v>6</v>
      </c>
      <c r="B81" s="324" t="s">
        <v>123</v>
      </c>
      <c r="C81" s="324"/>
      <c r="D81" s="42">
        <f>((((E32+D64+D74)/Matriz!C10))*Matriz!L10)/12</f>
        <v>14.045009854783581</v>
      </c>
      <c r="E81" s="104"/>
    </row>
    <row r="82" spans="1:5" x14ac:dyDescent="0.2">
      <c r="A82" s="12" t="s">
        <v>7</v>
      </c>
      <c r="B82" s="324" t="s">
        <v>39</v>
      </c>
      <c r="C82" s="324"/>
      <c r="D82" s="78">
        <f>((((E32+D64+D74)/Matriz!C10))*Matriz!M10)/12</f>
        <v>3.8865617751175816</v>
      </c>
      <c r="E82" s="104"/>
    </row>
    <row r="83" spans="1:5" ht="13.5" thickBot="1" x14ac:dyDescent="0.25">
      <c r="A83" s="38" t="s">
        <v>8</v>
      </c>
      <c r="B83" s="318" t="s">
        <v>62</v>
      </c>
      <c r="C83" s="318"/>
      <c r="D83" s="177">
        <v>0</v>
      </c>
      <c r="E83" s="104"/>
    </row>
    <row r="84" spans="1:5" ht="13.5" thickBot="1" x14ac:dyDescent="0.25">
      <c r="B84" s="55" t="s">
        <v>145</v>
      </c>
      <c r="C84" s="56"/>
      <c r="D84" s="52">
        <f>SUM(D78:D83)</f>
        <v>262.27846700555733</v>
      </c>
      <c r="E84" s="104"/>
    </row>
    <row r="85" spans="1:5" ht="13.5" thickBot="1" x14ac:dyDescent="0.25">
      <c r="A85" s="103"/>
      <c r="B85" s="103"/>
      <c r="C85" s="103"/>
      <c r="D85" s="74"/>
      <c r="E85" s="103"/>
    </row>
    <row r="86" spans="1:5" ht="15.75" x14ac:dyDescent="0.25">
      <c r="A86" s="320" t="s">
        <v>124</v>
      </c>
      <c r="B86" s="321"/>
      <c r="C86" s="321"/>
      <c r="D86" s="322"/>
      <c r="E86" s="103"/>
    </row>
    <row r="87" spans="1:5" x14ac:dyDescent="0.2">
      <c r="A87" s="12">
        <v>4</v>
      </c>
      <c r="B87" s="350" t="s">
        <v>125</v>
      </c>
      <c r="C87" s="351"/>
      <c r="D87" s="11" t="s">
        <v>30</v>
      </c>
      <c r="E87" s="103"/>
    </row>
    <row r="88" spans="1:5" x14ac:dyDescent="0.2">
      <c r="A88" s="12" t="s">
        <v>144</v>
      </c>
      <c r="B88" s="363" t="s">
        <v>125</v>
      </c>
      <c r="C88" s="364"/>
      <c r="D88" s="42">
        <f>D84</f>
        <v>262.27846700555733</v>
      </c>
      <c r="E88" s="103"/>
    </row>
    <row r="89" spans="1:5" ht="13.5" thickBot="1" x14ac:dyDescent="0.25">
      <c r="A89" s="103"/>
      <c r="B89" s="369" t="s">
        <v>145</v>
      </c>
      <c r="C89" s="370"/>
      <c r="D89" s="52">
        <f>SUM(D88:D88)</f>
        <v>262.27846700555733</v>
      </c>
      <c r="E89" s="103"/>
    </row>
    <row r="90" spans="1:5" ht="13.5" thickBot="1" x14ac:dyDescent="0.25">
      <c r="A90" s="103"/>
      <c r="B90" s="103"/>
      <c r="C90" s="103"/>
      <c r="D90" s="107"/>
      <c r="E90" s="103"/>
    </row>
    <row r="91" spans="1:5" ht="15.75" x14ac:dyDescent="0.25">
      <c r="A91" s="320" t="s">
        <v>171</v>
      </c>
      <c r="B91" s="321"/>
      <c r="C91" s="321"/>
      <c r="D91" s="322"/>
    </row>
    <row r="92" spans="1:5" x14ac:dyDescent="0.2">
      <c r="A92" s="12">
        <v>5</v>
      </c>
      <c r="B92" s="314" t="s">
        <v>18</v>
      </c>
      <c r="C92" s="314"/>
      <c r="D92" s="11" t="s">
        <v>30</v>
      </c>
    </row>
    <row r="93" spans="1:5" x14ac:dyDescent="0.2">
      <c r="A93" s="12" t="s">
        <v>2</v>
      </c>
      <c r="B93" s="323" t="s">
        <v>36</v>
      </c>
      <c r="C93" s="324"/>
      <c r="D93" s="42">
        <f>Uniformes!H35</f>
        <v>0</v>
      </c>
    </row>
    <row r="94" spans="1:5" x14ac:dyDescent="0.2">
      <c r="A94" s="12" t="s">
        <v>3</v>
      </c>
      <c r="B94" s="323" t="s">
        <v>191</v>
      </c>
      <c r="C94" s="324"/>
      <c r="D94" s="77">
        <f>'EPI''s'!H26</f>
        <v>0</v>
      </c>
    </row>
    <row r="95" spans="1:5" x14ac:dyDescent="0.2">
      <c r="A95" s="12" t="s">
        <v>4</v>
      </c>
      <c r="B95" s="324" t="s">
        <v>63</v>
      </c>
      <c r="C95" s="324"/>
      <c r="D95" s="77">
        <f>SUM(((E32+D38)/30)*0.021%)/12</f>
        <v>8.3317634919268435E-4</v>
      </c>
    </row>
    <row r="96" spans="1:5" x14ac:dyDescent="0.2">
      <c r="A96" s="12" t="s">
        <v>6</v>
      </c>
      <c r="B96" s="378" t="s">
        <v>184</v>
      </c>
      <c r="C96" s="362"/>
      <c r="D96" s="169">
        <f>'EPI''s'!H26</f>
        <v>0</v>
      </c>
    </row>
    <row r="97" spans="1:7" ht="13.5" thickBot="1" x14ac:dyDescent="0.25">
      <c r="B97" s="55" t="s">
        <v>59</v>
      </c>
      <c r="C97" s="56"/>
      <c r="D97" s="52">
        <f>SUM(D93:D96)</f>
        <v>8.3317634919268435E-4</v>
      </c>
    </row>
    <row r="98" spans="1:7" ht="13.5" thickBot="1" x14ac:dyDescent="0.25">
      <c r="A98" s="307"/>
      <c r="B98" s="307"/>
      <c r="C98" s="307"/>
      <c r="D98" s="307"/>
      <c r="E98" s="307"/>
    </row>
    <row r="99" spans="1:7" ht="16.5" thickBot="1" x14ac:dyDescent="0.3">
      <c r="A99" s="375" t="s">
        <v>126</v>
      </c>
      <c r="B99" s="376"/>
      <c r="C99" s="376"/>
      <c r="D99" s="376"/>
      <c r="E99" s="377"/>
    </row>
    <row r="100" spans="1:7" x14ac:dyDescent="0.2">
      <c r="A100" s="49">
        <v>6</v>
      </c>
      <c r="B100" s="368" t="s">
        <v>43</v>
      </c>
      <c r="C100" s="368"/>
      <c r="D100" s="106" t="s">
        <v>38</v>
      </c>
      <c r="E100" s="51" t="s">
        <v>30</v>
      </c>
    </row>
    <row r="101" spans="1:7" x14ac:dyDescent="0.2">
      <c r="A101" s="12" t="s">
        <v>2</v>
      </c>
      <c r="B101" s="306" t="s">
        <v>44</v>
      </c>
      <c r="C101" s="306"/>
      <c r="D101" s="59">
        <v>0.05</v>
      </c>
      <c r="E101" s="42">
        <f>D116*D101</f>
        <v>119.20450000000001</v>
      </c>
    </row>
    <row r="102" spans="1:7" x14ac:dyDescent="0.2">
      <c r="A102" s="12" t="s">
        <v>3</v>
      </c>
      <c r="B102" s="308" t="s">
        <v>64</v>
      </c>
      <c r="C102" s="306"/>
      <c r="D102" s="170">
        <v>0.05</v>
      </c>
      <c r="E102" s="19">
        <f>(D116+E101)*D102</f>
        <v>125.164725</v>
      </c>
    </row>
    <row r="103" spans="1:7" x14ac:dyDescent="0.2">
      <c r="A103" s="14" t="s">
        <v>4</v>
      </c>
      <c r="B103" s="308" t="s">
        <v>146</v>
      </c>
      <c r="C103" s="306"/>
      <c r="D103" s="100">
        <f>D104+D105+D106</f>
        <v>0.14250000000000002</v>
      </c>
      <c r="E103" s="19">
        <f>($D$116+$E$101+$E$102)*D103/(1-$D$103)</f>
        <v>436.79934642857154</v>
      </c>
    </row>
    <row r="104" spans="1:7" x14ac:dyDescent="0.2">
      <c r="A104" s="14" t="s">
        <v>149</v>
      </c>
      <c r="B104" s="308" t="s">
        <v>147</v>
      </c>
      <c r="C104" s="306"/>
      <c r="D104" s="60">
        <v>1.6500000000000001E-2</v>
      </c>
      <c r="E104" s="19">
        <f>($D$116+$E$101+$E$102)*D104/(1-$D$103)</f>
        <v>50.576766428571439</v>
      </c>
    </row>
    <row r="105" spans="1:7" x14ac:dyDescent="0.2">
      <c r="A105" s="14" t="s">
        <v>150</v>
      </c>
      <c r="B105" s="308" t="s">
        <v>148</v>
      </c>
      <c r="C105" s="306"/>
      <c r="D105" s="60">
        <v>7.5999999999999998E-2</v>
      </c>
      <c r="E105" s="19">
        <f>($D$116+$E$101+$E$102)*D105/(1-$D$103)</f>
        <v>232.95965142857145</v>
      </c>
      <c r="G105" s="73"/>
    </row>
    <row r="106" spans="1:7" x14ac:dyDescent="0.2">
      <c r="A106" s="14" t="s">
        <v>151</v>
      </c>
      <c r="B106" s="308" t="s">
        <v>203</v>
      </c>
      <c r="C106" s="308"/>
      <c r="D106" s="60">
        <v>0.05</v>
      </c>
      <c r="E106" s="19">
        <f>($D$116+$E$101+$E$102-$E$41-$E$48)*D106/(1-$D$103)</f>
        <v>129.94370713629806</v>
      </c>
    </row>
    <row r="107" spans="1:7" ht="13.5" thickBot="1" x14ac:dyDescent="0.25">
      <c r="B107" s="55" t="s">
        <v>45</v>
      </c>
      <c r="C107" s="56"/>
      <c r="D107" s="57">
        <f>D101+D102+D103</f>
        <v>0.24250000000000002</v>
      </c>
      <c r="E107" s="52">
        <f>E101+E102+E104+E105+E106</f>
        <v>657.84934999344091</v>
      </c>
      <c r="G107" s="45"/>
    </row>
    <row r="108" spans="1:7" ht="13.5" thickBot="1" x14ac:dyDescent="0.25">
      <c r="A108" s="354"/>
      <c r="B108" s="354"/>
      <c r="C108" s="354"/>
      <c r="D108" s="354"/>
      <c r="E108" s="354"/>
      <c r="G108" s="45"/>
    </row>
    <row r="109" spans="1:7" ht="15.75" x14ac:dyDescent="0.25">
      <c r="A109" s="320" t="s">
        <v>47</v>
      </c>
      <c r="B109" s="321"/>
      <c r="C109" s="321"/>
      <c r="D109" s="322"/>
      <c r="G109" s="45"/>
    </row>
    <row r="110" spans="1:7" x14ac:dyDescent="0.2">
      <c r="A110" s="12">
        <v>5</v>
      </c>
      <c r="B110" s="314" t="s">
        <v>46</v>
      </c>
      <c r="C110" s="314"/>
      <c r="D110" s="11" t="s">
        <v>30</v>
      </c>
      <c r="G110" s="45"/>
    </row>
    <row r="111" spans="1:7" x14ac:dyDescent="0.2">
      <c r="A111" s="12" t="s">
        <v>2</v>
      </c>
      <c r="B111" s="306" t="s">
        <v>27</v>
      </c>
      <c r="C111" s="306"/>
      <c r="D111" s="42">
        <f>E32</f>
        <v>1285.47208161157</v>
      </c>
      <c r="G111" s="45"/>
    </row>
    <row r="112" spans="1:7" x14ac:dyDescent="0.2">
      <c r="A112" s="12" t="s">
        <v>3</v>
      </c>
      <c r="B112" s="308" t="s">
        <v>136</v>
      </c>
      <c r="C112" s="306"/>
      <c r="D112" s="19">
        <f>D64</f>
        <v>747.94548243801637</v>
      </c>
      <c r="G112" s="53"/>
    </row>
    <row r="113" spans="1:7" x14ac:dyDescent="0.2">
      <c r="A113" s="12" t="s">
        <v>4</v>
      </c>
      <c r="B113" s="308" t="s">
        <v>122</v>
      </c>
      <c r="C113" s="306"/>
      <c r="D113" s="19">
        <f>D74</f>
        <v>88.391916936237365</v>
      </c>
      <c r="G113" s="45"/>
    </row>
    <row r="114" spans="1:7" x14ac:dyDescent="0.2">
      <c r="A114" s="14" t="s">
        <v>6</v>
      </c>
      <c r="B114" s="308" t="s">
        <v>137</v>
      </c>
      <c r="C114" s="306"/>
      <c r="D114" s="19">
        <f>D89</f>
        <v>262.27846700555733</v>
      </c>
    </row>
    <row r="115" spans="1:7" x14ac:dyDescent="0.2">
      <c r="A115" s="89" t="s">
        <v>7</v>
      </c>
      <c r="B115" s="308" t="s">
        <v>160</v>
      </c>
      <c r="C115" s="308"/>
      <c r="D115" s="88">
        <f>D97</f>
        <v>8.3317634919268435E-4</v>
      </c>
      <c r="G115" s="53"/>
    </row>
    <row r="116" spans="1:7" x14ac:dyDescent="0.2">
      <c r="A116" s="372" t="s">
        <v>163</v>
      </c>
      <c r="B116" s="373"/>
      <c r="C116" s="374"/>
      <c r="D116" s="58">
        <f>ROUND(SUM(D111:D115),2)</f>
        <v>2384.09</v>
      </c>
    </row>
    <row r="117" spans="1:7" ht="13.5" thickBot="1" x14ac:dyDescent="0.25">
      <c r="A117" s="23" t="s">
        <v>8</v>
      </c>
      <c r="B117" s="319" t="s">
        <v>126</v>
      </c>
      <c r="C117" s="319"/>
      <c r="D117" s="20">
        <f>ROUND(E107,2)</f>
        <v>657.85</v>
      </c>
    </row>
    <row r="118" spans="1:7" ht="13.5" thickBot="1" x14ac:dyDescent="0.25">
      <c r="B118" s="365" t="s">
        <v>49</v>
      </c>
      <c r="C118" s="366"/>
      <c r="D118" s="52">
        <f>ROUND((D116+D117),2)</f>
        <v>3041.94</v>
      </c>
      <c r="E118" s="45"/>
      <c r="G118" s="54"/>
    </row>
    <row r="119" spans="1:7" ht="13.5" thickBot="1" x14ac:dyDescent="0.25">
      <c r="A119" s="354"/>
      <c r="B119" s="354"/>
      <c r="C119" s="354"/>
      <c r="D119" s="354"/>
      <c r="E119" s="354"/>
    </row>
    <row r="120" spans="1:7" ht="15.75" x14ac:dyDescent="0.25">
      <c r="A120" s="320" t="s">
        <v>58</v>
      </c>
      <c r="B120" s="321"/>
      <c r="C120" s="321"/>
      <c r="D120" s="322"/>
    </row>
    <row r="121" spans="1:7" x14ac:dyDescent="0.2">
      <c r="A121" s="12">
        <v>5</v>
      </c>
      <c r="B121" s="314" t="s">
        <v>46</v>
      </c>
      <c r="C121" s="314"/>
      <c r="D121" s="11" t="s">
        <v>30</v>
      </c>
    </row>
    <row r="122" spans="1:7" x14ac:dyDescent="0.2">
      <c r="A122" s="12" t="s">
        <v>2</v>
      </c>
      <c r="B122" s="306" t="s">
        <v>27</v>
      </c>
      <c r="C122" s="306"/>
      <c r="D122" s="42">
        <f>D111*TOTAIS!F25</f>
        <v>2570.9441632231401</v>
      </c>
    </row>
    <row r="123" spans="1:7" x14ac:dyDescent="0.2">
      <c r="A123" s="12" t="s">
        <v>3</v>
      </c>
      <c r="B123" s="306" t="s">
        <v>33</v>
      </c>
      <c r="C123" s="306"/>
      <c r="D123" s="19">
        <f>D112*TOTAIS!F25</f>
        <v>1495.8909648760327</v>
      </c>
    </row>
    <row r="124" spans="1:7" x14ac:dyDescent="0.2">
      <c r="A124" s="12" t="s">
        <v>4</v>
      </c>
      <c r="B124" s="306" t="s">
        <v>35</v>
      </c>
      <c r="C124" s="306"/>
      <c r="D124" s="19">
        <f>D113*TOTAIS!F25</f>
        <v>176.78383387247473</v>
      </c>
    </row>
    <row r="125" spans="1:7" x14ac:dyDescent="0.2">
      <c r="A125" s="14" t="s">
        <v>6</v>
      </c>
      <c r="B125" s="306" t="s">
        <v>48</v>
      </c>
      <c r="C125" s="306"/>
      <c r="D125" s="19">
        <f>D114*TOTAIS!F25</f>
        <v>524.55693401111466</v>
      </c>
    </row>
    <row r="126" spans="1:7" x14ac:dyDescent="0.2">
      <c r="A126" s="89" t="s">
        <v>7</v>
      </c>
      <c r="B126" s="308" t="s">
        <v>160</v>
      </c>
      <c r="C126" s="308"/>
      <c r="D126" s="19">
        <f>D115*TOTAIS!F25</f>
        <v>1.6663526983853687E-3</v>
      </c>
    </row>
    <row r="127" spans="1:7" x14ac:dyDescent="0.2">
      <c r="A127" s="372" t="s">
        <v>57</v>
      </c>
      <c r="B127" s="373"/>
      <c r="C127" s="374"/>
      <c r="D127" s="58">
        <f>SUM(D122:D126)</f>
        <v>4768.1775623354606</v>
      </c>
    </row>
    <row r="128" spans="1:7" ht="13.5" thickBot="1" x14ac:dyDescent="0.25">
      <c r="A128" s="23" t="s">
        <v>8</v>
      </c>
      <c r="B128" s="319" t="s">
        <v>126</v>
      </c>
      <c r="C128" s="319"/>
      <c r="D128" s="20">
        <f>D117*TOTAIS!F25</f>
        <v>1315.7</v>
      </c>
    </row>
    <row r="129" spans="2:4" ht="13.5" thickBot="1" x14ac:dyDescent="0.25">
      <c r="B129" s="365" t="s">
        <v>55</v>
      </c>
      <c r="C129" s="366"/>
      <c r="D129" s="52">
        <f>D127+D128</f>
        <v>6083.8775623354604</v>
      </c>
    </row>
  </sheetData>
  <mergeCells count="121">
    <mergeCell ref="A116:C116"/>
    <mergeCell ref="B117:C117"/>
    <mergeCell ref="A119:E119"/>
    <mergeCell ref="A120:D120"/>
    <mergeCell ref="B121:C121"/>
    <mergeCell ref="A127:C127"/>
    <mergeCell ref="B128:C128"/>
    <mergeCell ref="A1:E1"/>
    <mergeCell ref="A2:E2"/>
    <mergeCell ref="A3:E3"/>
    <mergeCell ref="A4:D4"/>
    <mergeCell ref="A5:C5"/>
    <mergeCell ref="A6:C6"/>
    <mergeCell ref="A59:D59"/>
    <mergeCell ref="B60:C60"/>
    <mergeCell ref="A66:D66"/>
    <mergeCell ref="B13:C13"/>
    <mergeCell ref="B14:C14"/>
    <mergeCell ref="A15:E15"/>
    <mergeCell ref="A16:D16"/>
    <mergeCell ref="B17:C17"/>
    <mergeCell ref="B18:C18"/>
    <mergeCell ref="A7:C7"/>
    <mergeCell ref="A8:C8"/>
    <mergeCell ref="A9:E9"/>
    <mergeCell ref="A10:D10"/>
    <mergeCell ref="B11:C11"/>
    <mergeCell ref="B12:C12"/>
    <mergeCell ref="B25:C25"/>
    <mergeCell ref="B26:C26"/>
    <mergeCell ref="B27:C27"/>
    <mergeCell ref="B28:C28"/>
    <mergeCell ref="B30:C30"/>
    <mergeCell ref="B19:C19"/>
    <mergeCell ref="B20:C20"/>
    <mergeCell ref="A21:E21"/>
    <mergeCell ref="A22:E22"/>
    <mergeCell ref="B23:C23"/>
    <mergeCell ref="B24:C24"/>
    <mergeCell ref="B37:C37"/>
    <mergeCell ref="B38:C38"/>
    <mergeCell ref="B29:C29"/>
    <mergeCell ref="A39:E39"/>
    <mergeCell ref="B40:C40"/>
    <mergeCell ref="B41:C41"/>
    <mergeCell ref="B42:C42"/>
    <mergeCell ref="B31:C31"/>
    <mergeCell ref="B32:D32"/>
    <mergeCell ref="A33:E33"/>
    <mergeCell ref="A34:D34"/>
    <mergeCell ref="B35:C35"/>
    <mergeCell ref="B36:C36"/>
    <mergeCell ref="B49:C49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63:C63"/>
    <mergeCell ref="B64:C64"/>
    <mergeCell ref="B68:C68"/>
    <mergeCell ref="B69:C69"/>
    <mergeCell ref="B56:C56"/>
    <mergeCell ref="B57:C57"/>
    <mergeCell ref="B61:C61"/>
    <mergeCell ref="B62:C62"/>
    <mergeCell ref="B67:C67"/>
    <mergeCell ref="B78:C78"/>
    <mergeCell ref="B79:C79"/>
    <mergeCell ref="B80:C80"/>
    <mergeCell ref="B81:C81"/>
    <mergeCell ref="B70:C70"/>
    <mergeCell ref="B71:C71"/>
    <mergeCell ref="B72:C72"/>
    <mergeCell ref="B74:C74"/>
    <mergeCell ref="A75:E75"/>
    <mergeCell ref="A76:D76"/>
    <mergeCell ref="B77:C77"/>
    <mergeCell ref="B73:C73"/>
    <mergeCell ref="B100:C100"/>
    <mergeCell ref="A108:E108"/>
    <mergeCell ref="B93:C93"/>
    <mergeCell ref="B94:C94"/>
    <mergeCell ref="B95:C95"/>
    <mergeCell ref="B96:C96"/>
    <mergeCell ref="B82:C82"/>
    <mergeCell ref="B83:C83"/>
    <mergeCell ref="A86:D86"/>
    <mergeCell ref="B87:C87"/>
    <mergeCell ref="A91:D91"/>
    <mergeCell ref="B92:C92"/>
    <mergeCell ref="A109:D109"/>
    <mergeCell ref="B110:C110"/>
    <mergeCell ref="B129:C129"/>
    <mergeCell ref="B89:C89"/>
    <mergeCell ref="B88:C88"/>
    <mergeCell ref="B123:C123"/>
    <mergeCell ref="B124:C124"/>
    <mergeCell ref="B125:C125"/>
    <mergeCell ref="B126:C126"/>
    <mergeCell ref="B118:C118"/>
    <mergeCell ref="B122:C122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A99:E99"/>
    <mergeCell ref="B101:C101"/>
    <mergeCell ref="B102:C102"/>
    <mergeCell ref="B103:C103"/>
    <mergeCell ref="A98:E98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4"/>
  <dimension ref="A1:G129"/>
  <sheetViews>
    <sheetView showGridLines="0" topLeftCell="A67" workbookViewId="0">
      <selection activeCell="B72" sqref="B72:C72"/>
    </sheetView>
  </sheetViews>
  <sheetFormatPr defaultRowHeight="12.75" x14ac:dyDescent="0.2"/>
  <cols>
    <col min="1" max="1" width="3.7109375" style="104" customWidth="1"/>
    <col min="2" max="2" width="24.7109375" style="16" customWidth="1"/>
    <col min="3" max="3" width="28.7109375" style="16" customWidth="1"/>
    <col min="4" max="4" width="32.85546875" style="16" bestFit="1" customWidth="1"/>
    <col min="5" max="5" width="28.7109375" style="16" customWidth="1"/>
    <col min="6" max="6" width="9.140625" style="16"/>
    <col min="7" max="7" width="12.28515625" style="16" bestFit="1" customWidth="1"/>
    <col min="8" max="8" width="12.140625" style="16" bestFit="1" customWidth="1"/>
    <col min="9" max="10" width="10.5703125" style="16" bestFit="1" customWidth="1"/>
    <col min="11" max="11" width="9.5703125" style="16" bestFit="1" customWidth="1"/>
    <col min="12" max="16384" width="9.140625" style="16"/>
  </cols>
  <sheetData>
    <row r="1" spans="1:5" ht="20.25" x14ac:dyDescent="0.3">
      <c r="A1" s="336" t="s">
        <v>0</v>
      </c>
      <c r="B1" s="337"/>
      <c r="C1" s="337"/>
      <c r="D1" s="337"/>
      <c r="E1" s="338"/>
    </row>
    <row r="2" spans="1:5" ht="20.25" x14ac:dyDescent="0.3">
      <c r="A2" s="339" t="str">
        <f>TOTAIS!A6</f>
        <v>FORNECEDOR</v>
      </c>
      <c r="B2" s="340"/>
      <c r="C2" s="340"/>
      <c r="D2" s="340"/>
      <c r="E2" s="341"/>
    </row>
    <row r="3" spans="1:5" ht="21" thickBot="1" x14ac:dyDescent="0.35">
      <c r="A3" s="342" t="str">
        <f>D19</f>
        <v>Carregador - Ajudante de apoio - 44 horas semanais (Segunda a Sexta)</v>
      </c>
      <c r="B3" s="343"/>
      <c r="C3" s="343"/>
      <c r="D3" s="343"/>
      <c r="E3" s="344"/>
    </row>
    <row r="4" spans="1:5" ht="13.5" thickBot="1" x14ac:dyDescent="0.25">
      <c r="A4" s="292"/>
      <c r="B4" s="292"/>
      <c r="C4" s="292"/>
      <c r="D4" s="292"/>
      <c r="E4" s="25"/>
    </row>
    <row r="5" spans="1:5" x14ac:dyDescent="0.2">
      <c r="A5" s="327" t="s">
        <v>1</v>
      </c>
      <c r="B5" s="328"/>
      <c r="C5" s="328"/>
      <c r="D5" s="26" t="str">
        <f>TOTAIS!D9</f>
        <v>23759.020964/2019-25</v>
      </c>
      <c r="E5" s="27"/>
    </row>
    <row r="6" spans="1:5" x14ac:dyDescent="0.2">
      <c r="A6" s="334" t="s">
        <v>19</v>
      </c>
      <c r="B6" s="335"/>
      <c r="C6" s="335"/>
      <c r="D6" s="28" t="str">
        <f>TOTAIS!D10</f>
        <v>Pregão nº ___/20XX</v>
      </c>
      <c r="E6" s="27"/>
    </row>
    <row r="7" spans="1:5" x14ac:dyDescent="0.2">
      <c r="A7" s="345" t="s">
        <v>61</v>
      </c>
      <c r="B7" s="346"/>
      <c r="C7" s="346"/>
      <c r="D7" s="28" t="str">
        <f>TOTAIS!E9</f>
        <v>Lucro Real</v>
      </c>
      <c r="E7" s="27"/>
    </row>
    <row r="8" spans="1:5" ht="13.5" thickBot="1" x14ac:dyDescent="0.25">
      <c r="A8" s="309" t="s">
        <v>56</v>
      </c>
      <c r="B8" s="310"/>
      <c r="C8" s="310"/>
      <c r="D8" s="29">
        <f>TOTAIS!E26</f>
        <v>6</v>
      </c>
      <c r="E8" s="27"/>
    </row>
    <row r="9" spans="1:5" ht="13.5" thickBot="1" x14ac:dyDescent="0.25">
      <c r="A9" s="311"/>
      <c r="B9" s="311"/>
      <c r="C9" s="311"/>
      <c r="D9" s="311"/>
      <c r="E9" s="311"/>
    </row>
    <row r="10" spans="1:5" ht="15.75" x14ac:dyDescent="0.25">
      <c r="A10" s="329" t="s">
        <v>20</v>
      </c>
      <c r="B10" s="330"/>
      <c r="C10" s="330"/>
      <c r="D10" s="331"/>
      <c r="E10" s="27"/>
    </row>
    <row r="11" spans="1:5" x14ac:dyDescent="0.2">
      <c r="A11" s="30" t="s">
        <v>2</v>
      </c>
      <c r="B11" s="312" t="s">
        <v>52</v>
      </c>
      <c r="C11" s="313"/>
      <c r="D11" s="31" t="str">
        <f>TOTAIS!D12</f>
        <v>__/__/20__</v>
      </c>
      <c r="E11" s="27"/>
    </row>
    <row r="12" spans="1:5" x14ac:dyDescent="0.2">
      <c r="A12" s="30" t="s">
        <v>3</v>
      </c>
      <c r="B12" s="312" t="s">
        <v>50</v>
      </c>
      <c r="C12" s="313"/>
      <c r="D12" s="32" t="str">
        <f>TOTAIS!D16</f>
        <v>Curitiba/PR</v>
      </c>
      <c r="E12" s="27"/>
    </row>
    <row r="13" spans="1:5" x14ac:dyDescent="0.2">
      <c r="A13" s="30" t="s">
        <v>4</v>
      </c>
      <c r="B13" s="312" t="s">
        <v>5</v>
      </c>
      <c r="C13" s="313"/>
      <c r="D13" s="33" t="str">
        <f>TOTAIS!D17</f>
        <v>CCT 2019/2020</v>
      </c>
      <c r="E13" s="27"/>
    </row>
    <row r="14" spans="1:5" ht="13.5" thickBot="1" x14ac:dyDescent="0.25">
      <c r="A14" s="34" t="s">
        <v>6</v>
      </c>
      <c r="B14" s="332" t="s">
        <v>53</v>
      </c>
      <c r="C14" s="333"/>
      <c r="D14" s="35">
        <f>TOTAIS!D18</f>
        <v>12</v>
      </c>
      <c r="E14" s="27"/>
    </row>
    <row r="15" spans="1:5" ht="13.5" thickBot="1" x14ac:dyDescent="0.25">
      <c r="A15" s="311"/>
      <c r="B15" s="311"/>
      <c r="C15" s="311"/>
      <c r="D15" s="311"/>
      <c r="E15" s="311"/>
    </row>
    <row r="16" spans="1:5" ht="15.75" x14ac:dyDescent="0.25">
      <c r="A16" s="347" t="s">
        <v>24</v>
      </c>
      <c r="B16" s="348"/>
      <c r="C16" s="348"/>
      <c r="D16" s="349"/>
    </row>
    <row r="17" spans="1:5" x14ac:dyDescent="0.2">
      <c r="A17" s="12">
        <v>1</v>
      </c>
      <c r="B17" s="306" t="s">
        <v>22</v>
      </c>
      <c r="C17" s="306"/>
      <c r="D17" s="36" t="s">
        <v>156</v>
      </c>
    </row>
    <row r="18" spans="1:5" x14ac:dyDescent="0.2">
      <c r="A18" s="12">
        <v>2</v>
      </c>
      <c r="B18" s="306" t="s">
        <v>25</v>
      </c>
      <c r="C18" s="306"/>
      <c r="D18" s="102">
        <f>TOTAIS!H26</f>
        <v>1000</v>
      </c>
    </row>
    <row r="19" spans="1:5" x14ac:dyDescent="0.2">
      <c r="A19" s="12">
        <v>3</v>
      </c>
      <c r="B19" s="306" t="s">
        <v>26</v>
      </c>
      <c r="C19" s="306"/>
      <c r="D19" s="123" t="str">
        <f>TOTAIS!A26</f>
        <v>Carregador - Ajudante de apoio - 44 horas semanais (Segunda a Sexta)</v>
      </c>
    </row>
    <row r="20" spans="1:5" ht="13.5" thickBot="1" x14ac:dyDescent="0.25">
      <c r="A20" s="38">
        <v>4</v>
      </c>
      <c r="B20" s="319" t="s">
        <v>51</v>
      </c>
      <c r="C20" s="319"/>
      <c r="D20" s="39" t="str">
        <f>TOTAIS!F16</f>
        <v>Validade CCT</v>
      </c>
    </row>
    <row r="21" spans="1:5" ht="13.5" thickBot="1" x14ac:dyDescent="0.25">
      <c r="A21" s="307"/>
      <c r="B21" s="307"/>
      <c r="C21" s="307"/>
      <c r="D21" s="307"/>
      <c r="E21" s="307"/>
    </row>
    <row r="22" spans="1:5" ht="15.75" x14ac:dyDescent="0.25">
      <c r="A22" s="315" t="s">
        <v>27</v>
      </c>
      <c r="B22" s="316"/>
      <c r="C22" s="316"/>
      <c r="D22" s="316"/>
      <c r="E22" s="317"/>
    </row>
    <row r="23" spans="1:5" x14ac:dyDescent="0.2">
      <c r="A23" s="12">
        <v>1</v>
      </c>
      <c r="B23" s="314" t="s">
        <v>28</v>
      </c>
      <c r="C23" s="314"/>
      <c r="D23" s="40" t="s">
        <v>29</v>
      </c>
      <c r="E23" s="11" t="s">
        <v>30</v>
      </c>
    </row>
    <row r="24" spans="1:5" x14ac:dyDescent="0.2">
      <c r="A24" s="12" t="s">
        <v>2</v>
      </c>
      <c r="B24" s="306" t="s">
        <v>31</v>
      </c>
      <c r="C24" s="306"/>
      <c r="D24" s="41"/>
      <c r="E24" s="42">
        <f>TOTAIS!H26</f>
        <v>1000</v>
      </c>
    </row>
    <row r="25" spans="1:5" x14ac:dyDescent="0.2">
      <c r="A25" s="12" t="s">
        <v>3</v>
      </c>
      <c r="B25" s="306" t="s">
        <v>10</v>
      </c>
      <c r="C25" s="306"/>
      <c r="D25" s="69">
        <f>Matriz!F11</f>
        <v>0</v>
      </c>
      <c r="E25" s="19">
        <f>E24*D25</f>
        <v>0</v>
      </c>
    </row>
    <row r="26" spans="1:5" x14ac:dyDescent="0.2">
      <c r="A26" s="12" t="s">
        <v>4</v>
      </c>
      <c r="B26" s="306" t="s">
        <v>11</v>
      </c>
      <c r="C26" s="306"/>
      <c r="D26" s="69">
        <f>Matriz!G11</f>
        <v>0</v>
      </c>
      <c r="E26" s="19">
        <f>D26*TOTAIS!F48</f>
        <v>0</v>
      </c>
    </row>
    <row r="27" spans="1:5" x14ac:dyDescent="0.2">
      <c r="A27" s="14" t="s">
        <v>7</v>
      </c>
      <c r="B27" s="306" t="s">
        <v>32</v>
      </c>
      <c r="C27" s="306"/>
      <c r="D27" s="69">
        <f>Matriz!H11</f>
        <v>0</v>
      </c>
      <c r="E27" s="19">
        <f>(((((SUM(E24:E26)/220)*D27)*7)*7)*4.35)/2</f>
        <v>0</v>
      </c>
    </row>
    <row r="28" spans="1:5" x14ac:dyDescent="0.2">
      <c r="A28" s="14" t="s">
        <v>8</v>
      </c>
      <c r="B28" s="306" t="s">
        <v>196</v>
      </c>
      <c r="C28" s="306"/>
      <c r="D28" s="41">
        <v>0</v>
      </c>
      <c r="E28" s="19">
        <f>IF(E27&lt;&gt; 0,((((((SUM(E24:E26)/220)*D27)+(SUM(E24:E26)/220))*0.875)*7)*4.35)/2,0)</f>
        <v>0</v>
      </c>
    </row>
    <row r="29" spans="1:5" x14ac:dyDescent="0.2">
      <c r="A29" s="172" t="s">
        <v>9</v>
      </c>
      <c r="B29" s="325" t="s">
        <v>198</v>
      </c>
      <c r="C29" s="326"/>
      <c r="D29" s="173">
        <v>0</v>
      </c>
      <c r="E29" s="19">
        <v>0</v>
      </c>
    </row>
    <row r="30" spans="1:5" ht="13.5" thickBot="1" x14ac:dyDescent="0.25">
      <c r="A30" s="23" t="s">
        <v>9</v>
      </c>
      <c r="B30" s="323" t="s">
        <v>131</v>
      </c>
      <c r="C30" s="324"/>
      <c r="D30" s="43">
        <v>0</v>
      </c>
      <c r="E30" s="19">
        <f>IF(CCT!I11="SIM",(E24+E25+E26)*((((11*71.429%)+3)/365.25)*100)%*50%*100%,0)</f>
        <v>0</v>
      </c>
    </row>
    <row r="31" spans="1:5" ht="13.5" thickBot="1" x14ac:dyDescent="0.25">
      <c r="A31" s="23" t="s">
        <v>13</v>
      </c>
      <c r="B31" s="379" t="s">
        <v>194</v>
      </c>
      <c r="C31" s="318"/>
      <c r="D31" s="171">
        <v>0</v>
      </c>
      <c r="E31" s="112">
        <f>D31*E24</f>
        <v>0</v>
      </c>
    </row>
    <row r="32" spans="1:5" ht="13.5" thickBot="1" x14ac:dyDescent="0.25">
      <c r="B32" s="359" t="s">
        <v>138</v>
      </c>
      <c r="C32" s="360"/>
      <c r="D32" s="360"/>
      <c r="E32" s="44">
        <f>SUM(E24:E31)</f>
        <v>1000</v>
      </c>
    </row>
    <row r="33" spans="1:5" ht="13.5" thickBot="1" x14ac:dyDescent="0.25">
      <c r="A33" s="354"/>
      <c r="B33" s="354"/>
      <c r="C33" s="354"/>
      <c r="D33" s="354"/>
      <c r="E33" s="354"/>
    </row>
    <row r="34" spans="1:5" ht="15.75" x14ac:dyDescent="0.25">
      <c r="A34" s="320" t="s">
        <v>128</v>
      </c>
      <c r="B34" s="321"/>
      <c r="C34" s="321"/>
      <c r="D34" s="322"/>
    </row>
    <row r="35" spans="1:5" x14ac:dyDescent="0.2">
      <c r="A35" s="12" t="s">
        <v>115</v>
      </c>
      <c r="B35" s="350" t="s">
        <v>157</v>
      </c>
      <c r="C35" s="351"/>
      <c r="D35" s="11" t="s">
        <v>30</v>
      </c>
    </row>
    <row r="36" spans="1:5" x14ac:dyDescent="0.2">
      <c r="A36" s="12" t="s">
        <v>2</v>
      </c>
      <c r="B36" s="325" t="s">
        <v>180</v>
      </c>
      <c r="C36" s="326"/>
      <c r="D36" s="42">
        <f>E32/12</f>
        <v>83.333333333333329</v>
      </c>
    </row>
    <row r="37" spans="1:5" ht="13.5" thickBot="1" x14ac:dyDescent="0.25">
      <c r="A37" s="12" t="s">
        <v>3</v>
      </c>
      <c r="B37" s="325" t="s">
        <v>181</v>
      </c>
      <c r="C37" s="326"/>
      <c r="D37" s="19">
        <f>E32*1/3/12</f>
        <v>27.777777777777775</v>
      </c>
      <c r="E37" s="113"/>
    </row>
    <row r="38" spans="1:5" ht="13.5" thickBot="1" x14ac:dyDescent="0.25">
      <c r="B38" s="355" t="s">
        <v>37</v>
      </c>
      <c r="C38" s="356"/>
      <c r="D38" s="44">
        <f>SUM(D36:D37)</f>
        <v>111.1111111111111</v>
      </c>
    </row>
    <row r="39" spans="1:5" x14ac:dyDescent="0.2">
      <c r="A39" s="354"/>
      <c r="B39" s="354"/>
      <c r="C39" s="354"/>
      <c r="D39" s="354"/>
      <c r="E39" s="354"/>
    </row>
    <row r="40" spans="1:5" x14ac:dyDescent="0.2">
      <c r="A40" s="12" t="s">
        <v>116</v>
      </c>
      <c r="B40" s="350" t="s">
        <v>127</v>
      </c>
      <c r="C40" s="351"/>
      <c r="D40" s="11" t="s">
        <v>38</v>
      </c>
      <c r="E40" s="11" t="s">
        <v>30</v>
      </c>
    </row>
    <row r="41" spans="1:5" x14ac:dyDescent="0.2">
      <c r="A41" s="12" t="s">
        <v>2</v>
      </c>
      <c r="B41" s="306" t="s">
        <v>54</v>
      </c>
      <c r="C41" s="306"/>
      <c r="D41" s="46">
        <v>0.2</v>
      </c>
      <c r="E41" s="47">
        <f>($E$32+$D$38)*D41</f>
        <v>222.22222222222223</v>
      </c>
    </row>
    <row r="42" spans="1:5" x14ac:dyDescent="0.2">
      <c r="A42" s="12" t="s">
        <v>3</v>
      </c>
      <c r="B42" s="306" t="s">
        <v>17</v>
      </c>
      <c r="C42" s="306"/>
      <c r="D42" s="46">
        <v>2.5000000000000001E-2</v>
      </c>
      <c r="E42" s="47">
        <f t="shared" ref="E42:E48" si="0">($E$32+$D$38)*D42</f>
        <v>27.777777777777779</v>
      </c>
    </row>
    <row r="43" spans="1:5" x14ac:dyDescent="0.2">
      <c r="A43" s="12" t="s">
        <v>4</v>
      </c>
      <c r="B43" s="306" t="s">
        <v>182</v>
      </c>
      <c r="C43" s="306"/>
      <c r="D43" s="170">
        <v>0.03</v>
      </c>
      <c r="E43" s="47">
        <f t="shared" si="0"/>
        <v>33.333333333333329</v>
      </c>
    </row>
    <row r="44" spans="1:5" x14ac:dyDescent="0.2">
      <c r="A44" s="12" t="s">
        <v>6</v>
      </c>
      <c r="B44" s="306" t="s">
        <v>117</v>
      </c>
      <c r="C44" s="306"/>
      <c r="D44" s="46">
        <v>1.4999999999999999E-2</v>
      </c>
      <c r="E44" s="47">
        <f t="shared" si="0"/>
        <v>16.666666666666664</v>
      </c>
    </row>
    <row r="45" spans="1:5" x14ac:dyDescent="0.2">
      <c r="A45" s="14" t="s">
        <v>7</v>
      </c>
      <c r="B45" s="306" t="s">
        <v>118</v>
      </c>
      <c r="C45" s="306"/>
      <c r="D45" s="46">
        <v>0.01</v>
      </c>
      <c r="E45" s="47">
        <f t="shared" si="0"/>
        <v>11.111111111111111</v>
      </c>
    </row>
    <row r="46" spans="1:5" x14ac:dyDescent="0.2">
      <c r="A46" s="14" t="s">
        <v>8</v>
      </c>
      <c r="B46" s="306" t="s">
        <v>16</v>
      </c>
      <c r="C46" s="306"/>
      <c r="D46" s="46">
        <v>6.0000000000000001E-3</v>
      </c>
      <c r="E46" s="47">
        <f t="shared" si="0"/>
        <v>6.666666666666667</v>
      </c>
    </row>
    <row r="47" spans="1:5" ht="13.5" thickBot="1" x14ac:dyDescent="0.25">
      <c r="A47" s="23" t="s">
        <v>9</v>
      </c>
      <c r="B47" s="306" t="s">
        <v>15</v>
      </c>
      <c r="C47" s="306"/>
      <c r="D47" s="46">
        <v>2E-3</v>
      </c>
      <c r="E47" s="47">
        <f t="shared" si="0"/>
        <v>2.2222222222222223</v>
      </c>
    </row>
    <row r="48" spans="1:5" ht="13.5" thickBot="1" x14ac:dyDescent="0.25">
      <c r="A48" s="12" t="s">
        <v>13</v>
      </c>
      <c r="B48" s="319" t="s">
        <v>14</v>
      </c>
      <c r="C48" s="319"/>
      <c r="D48" s="48">
        <v>0.08</v>
      </c>
      <c r="E48" s="47">
        <f t="shared" si="0"/>
        <v>88.888888888888886</v>
      </c>
    </row>
    <row r="49" spans="1:5" ht="13.5" thickBot="1" x14ac:dyDescent="0.25">
      <c r="B49" s="352" t="s">
        <v>139</v>
      </c>
      <c r="C49" s="353"/>
      <c r="D49" s="84">
        <f>SUM(D41:D48)</f>
        <v>0.36800000000000005</v>
      </c>
      <c r="E49" s="65">
        <f>SUM(E41:E48)</f>
        <v>408.88888888888891</v>
      </c>
    </row>
    <row r="50" spans="1:5" x14ac:dyDescent="0.2">
      <c r="B50" s="104"/>
      <c r="C50" s="104"/>
      <c r="D50" s="104"/>
      <c r="E50" s="104"/>
    </row>
    <row r="51" spans="1:5" x14ac:dyDescent="0.2">
      <c r="A51" s="12" t="s">
        <v>119</v>
      </c>
      <c r="B51" s="350" t="s">
        <v>34</v>
      </c>
      <c r="C51" s="351"/>
      <c r="D51" s="11" t="s">
        <v>30</v>
      </c>
      <c r="E51" s="104"/>
    </row>
    <row r="52" spans="1:5" x14ac:dyDescent="0.2">
      <c r="A52" s="12" t="s">
        <v>2</v>
      </c>
      <c r="B52" s="325" t="s">
        <v>120</v>
      </c>
      <c r="C52" s="326"/>
      <c r="D52" s="42">
        <f>Matriz!E23</f>
        <v>138</v>
      </c>
      <c r="E52" s="104"/>
    </row>
    <row r="53" spans="1:5" x14ac:dyDescent="0.2">
      <c r="A53" s="12" t="s">
        <v>3</v>
      </c>
      <c r="B53" s="325" t="s">
        <v>121</v>
      </c>
      <c r="C53" s="326"/>
      <c r="D53" s="19">
        <f>CCT!E11</f>
        <v>0</v>
      </c>
      <c r="E53" s="104"/>
    </row>
    <row r="54" spans="1:5" x14ac:dyDescent="0.2">
      <c r="A54" s="105" t="s">
        <v>4</v>
      </c>
      <c r="B54" s="306" t="str">
        <f>CCT!F6</f>
        <v>Auxílio Saúde</v>
      </c>
      <c r="C54" s="306"/>
      <c r="D54" s="72">
        <f>CCT!F11</f>
        <v>0</v>
      </c>
      <c r="E54" s="104"/>
    </row>
    <row r="55" spans="1:5" x14ac:dyDescent="0.2">
      <c r="A55" s="105" t="s">
        <v>6</v>
      </c>
      <c r="B55" s="306" t="str">
        <f>CCT!G6</f>
        <v>Beneficio CCT</v>
      </c>
      <c r="C55" s="306"/>
      <c r="D55" s="72">
        <f>CCT!G11</f>
        <v>0</v>
      </c>
      <c r="E55" s="104"/>
    </row>
    <row r="56" spans="1:5" x14ac:dyDescent="0.2">
      <c r="A56" s="105" t="s">
        <v>7</v>
      </c>
      <c r="B56" s="325" t="str">
        <f>CCT!H6</f>
        <v>Beneficio CCT</v>
      </c>
      <c r="C56" s="326"/>
      <c r="D56" s="72">
        <f>CCT!H11</f>
        <v>0</v>
      </c>
      <c r="E56" s="104"/>
    </row>
    <row r="57" spans="1:5" ht="13.5" thickBot="1" x14ac:dyDescent="0.25">
      <c r="B57" s="357" t="s">
        <v>140</v>
      </c>
      <c r="C57" s="358"/>
      <c r="D57" s="52">
        <f>SUM(D52:D56)</f>
        <v>138</v>
      </c>
      <c r="E57" s="104"/>
    </row>
    <row r="58" spans="1:5" ht="13.5" thickBot="1" x14ac:dyDescent="0.25">
      <c r="B58" s="104"/>
      <c r="C58" s="104"/>
      <c r="D58" s="104"/>
      <c r="E58" s="104"/>
    </row>
    <row r="59" spans="1:5" ht="16.5" thickBot="1" x14ac:dyDescent="0.3">
      <c r="A59" s="320" t="s">
        <v>129</v>
      </c>
      <c r="B59" s="321"/>
      <c r="C59" s="321"/>
      <c r="D59" s="322"/>
      <c r="E59" s="104"/>
    </row>
    <row r="60" spans="1:5" x14ac:dyDescent="0.2">
      <c r="A60" s="49">
        <v>2</v>
      </c>
      <c r="B60" s="368" t="s">
        <v>141</v>
      </c>
      <c r="C60" s="368"/>
      <c r="D60" s="51" t="s">
        <v>30</v>
      </c>
      <c r="E60" s="104"/>
    </row>
    <row r="61" spans="1:5" x14ac:dyDescent="0.2">
      <c r="A61" s="12" t="s">
        <v>115</v>
      </c>
      <c r="B61" s="306" t="str">
        <f>B35</f>
        <v>13º Salário e Adicional de Férias</v>
      </c>
      <c r="C61" s="306"/>
      <c r="D61" s="42">
        <f>D38</f>
        <v>111.1111111111111</v>
      </c>
      <c r="E61" s="104"/>
    </row>
    <row r="62" spans="1:5" x14ac:dyDescent="0.2">
      <c r="A62" s="12" t="s">
        <v>116</v>
      </c>
      <c r="B62" s="306" t="str">
        <f>B40</f>
        <v>Encargos previdenciarios, FGTS e outras contribuições</v>
      </c>
      <c r="C62" s="306"/>
      <c r="D62" s="19">
        <f>E49</f>
        <v>408.88888888888891</v>
      </c>
      <c r="E62" s="104"/>
    </row>
    <row r="63" spans="1:5" x14ac:dyDescent="0.2">
      <c r="A63" s="12" t="s">
        <v>119</v>
      </c>
      <c r="B63" s="306" t="str">
        <f>B51</f>
        <v>Benefícios Mensais e Diários</v>
      </c>
      <c r="C63" s="306"/>
      <c r="D63" s="19">
        <f>D57</f>
        <v>138</v>
      </c>
      <c r="E63" s="104"/>
    </row>
    <row r="64" spans="1:5" ht="13.5" thickBot="1" x14ac:dyDescent="0.25">
      <c r="B64" s="357" t="s">
        <v>142</v>
      </c>
      <c r="C64" s="371"/>
      <c r="D64" s="52">
        <f>SUM(D61:D63)</f>
        <v>658</v>
      </c>
      <c r="E64" s="104"/>
    </row>
    <row r="65" spans="1:6" ht="13.5" thickBot="1" x14ac:dyDescent="0.25">
      <c r="B65" s="104"/>
      <c r="C65" s="104"/>
      <c r="D65" s="104"/>
      <c r="E65" s="104"/>
    </row>
    <row r="66" spans="1:6" ht="16.5" thickBot="1" x14ac:dyDescent="0.3">
      <c r="A66" s="320" t="s">
        <v>122</v>
      </c>
      <c r="B66" s="321"/>
      <c r="C66" s="321"/>
      <c r="D66" s="322"/>
    </row>
    <row r="67" spans="1:6" x14ac:dyDescent="0.2">
      <c r="A67" s="49">
        <v>3</v>
      </c>
      <c r="B67" s="368" t="s">
        <v>40</v>
      </c>
      <c r="C67" s="368"/>
      <c r="D67" s="76" t="s">
        <v>30</v>
      </c>
    </row>
    <row r="68" spans="1:6" x14ac:dyDescent="0.2">
      <c r="A68" s="12" t="s">
        <v>2</v>
      </c>
      <c r="B68" s="324" t="s">
        <v>41</v>
      </c>
      <c r="C68" s="324"/>
      <c r="D68" s="91">
        <f>E32*(10%*(1/12))</f>
        <v>8.3333333333333339</v>
      </c>
      <c r="E68" s="115"/>
    </row>
    <row r="69" spans="1:6" x14ac:dyDescent="0.2">
      <c r="A69" s="12" t="s">
        <v>3</v>
      </c>
      <c r="B69" s="306" t="s">
        <v>79</v>
      </c>
      <c r="C69" s="306"/>
      <c r="D69" s="90">
        <f>D68*0.08</f>
        <v>0.66666666666666674</v>
      </c>
      <c r="E69" s="114"/>
    </row>
    <row r="70" spans="1:6" x14ac:dyDescent="0.2">
      <c r="A70" s="12" t="s">
        <v>4</v>
      </c>
      <c r="B70" s="306" t="s">
        <v>162</v>
      </c>
      <c r="C70" s="306"/>
      <c r="D70" s="90">
        <f>D69*0.4</f>
        <v>0.26666666666666672</v>
      </c>
      <c r="E70" s="116"/>
      <c r="F70" s="54"/>
    </row>
    <row r="71" spans="1:6" x14ac:dyDescent="0.2">
      <c r="A71" s="12" t="s">
        <v>6</v>
      </c>
      <c r="B71" s="306" t="s">
        <v>42</v>
      </c>
      <c r="C71" s="306"/>
      <c r="D71" s="90">
        <f>E32*0.9*7/360</f>
        <v>17.5</v>
      </c>
    </row>
    <row r="72" spans="1:6" x14ac:dyDescent="0.2">
      <c r="A72" s="12" t="s">
        <v>7</v>
      </c>
      <c r="B72" s="306" t="s">
        <v>197</v>
      </c>
      <c r="C72" s="306"/>
      <c r="D72" s="90">
        <f>E32*(D49*((90%*7/(360)*100)/100))</f>
        <v>6.44</v>
      </c>
      <c r="E72" s="114"/>
    </row>
    <row r="73" spans="1:6" x14ac:dyDescent="0.2">
      <c r="A73" s="12" t="s">
        <v>8</v>
      </c>
      <c r="B73" s="306" t="s">
        <v>204</v>
      </c>
      <c r="C73" s="306"/>
      <c r="D73" s="90">
        <f>E48*0.4</f>
        <v>35.555555555555557</v>
      </c>
      <c r="E73" s="114"/>
    </row>
    <row r="74" spans="1:6" ht="13.5" thickBot="1" x14ac:dyDescent="0.25">
      <c r="B74" s="357" t="s">
        <v>143</v>
      </c>
      <c r="C74" s="371"/>
      <c r="D74" s="92">
        <f>SUM(D68:D73)</f>
        <v>68.762222222222221</v>
      </c>
    </row>
    <row r="75" spans="1:6" ht="13.5" thickBot="1" x14ac:dyDescent="0.25">
      <c r="A75" s="354"/>
      <c r="B75" s="354"/>
      <c r="C75" s="354"/>
      <c r="D75" s="354"/>
      <c r="E75" s="354"/>
    </row>
    <row r="76" spans="1:6" ht="15.75" x14ac:dyDescent="0.25">
      <c r="A76" s="320" t="s">
        <v>161</v>
      </c>
      <c r="B76" s="321"/>
      <c r="C76" s="321"/>
      <c r="D76" s="322"/>
      <c r="E76" s="104"/>
    </row>
    <row r="77" spans="1:6" x14ac:dyDescent="0.2">
      <c r="A77" s="12" t="s">
        <v>144</v>
      </c>
      <c r="B77" s="314" t="s">
        <v>125</v>
      </c>
      <c r="C77" s="314"/>
      <c r="D77" s="11" t="s">
        <v>30</v>
      </c>
      <c r="E77" s="104"/>
    </row>
    <row r="78" spans="1:6" x14ac:dyDescent="0.2">
      <c r="A78" s="12" t="s">
        <v>2</v>
      </c>
      <c r="B78" s="323" t="s">
        <v>60</v>
      </c>
      <c r="C78" s="324"/>
      <c r="D78" s="42">
        <f>(((((E32+D64+D74)/Matriz!C11)*Matriz!I11)/12))</f>
        <v>135.47430748232321</v>
      </c>
      <c r="E78" s="99"/>
    </row>
    <row r="79" spans="1:6" x14ac:dyDescent="0.2">
      <c r="A79" s="12" t="s">
        <v>3</v>
      </c>
      <c r="B79" s="323" t="s">
        <v>130</v>
      </c>
      <c r="C79" s="324"/>
      <c r="D79" s="42">
        <f>((((E32+D64+D74)/Matriz!C11))*Matriz!J11)/12</f>
        <v>39.244595959595955</v>
      </c>
      <c r="E79" s="104"/>
    </row>
    <row r="80" spans="1:6" x14ac:dyDescent="0.2">
      <c r="A80" s="12" t="s">
        <v>4</v>
      </c>
      <c r="B80" s="323" t="s">
        <v>154</v>
      </c>
      <c r="C80" s="324"/>
      <c r="D80" s="42">
        <f>((((E32+D64+D74)/Matriz!C11))*Matriz!K11)/12</f>
        <v>3.7910279696969695</v>
      </c>
      <c r="E80" s="104"/>
      <c r="F80" s="75"/>
    </row>
    <row r="81" spans="1:5" x14ac:dyDescent="0.2">
      <c r="A81" s="12" t="s">
        <v>6</v>
      </c>
      <c r="B81" s="324" t="s">
        <v>123</v>
      </c>
      <c r="C81" s="324"/>
      <c r="D81" s="42">
        <f>((((E32+D64+D74)/Matriz!C11))*Matriz!L11)/12</f>
        <v>11.119302188552188</v>
      </c>
      <c r="E81" s="104"/>
    </row>
    <row r="82" spans="1:5" x14ac:dyDescent="0.2">
      <c r="A82" s="12" t="s">
        <v>7</v>
      </c>
      <c r="B82" s="324" t="s">
        <v>39</v>
      </c>
      <c r="C82" s="324"/>
      <c r="D82" s="78">
        <f>((((E32+D64+D74)/Matriz!C11))*Matriz!M11)/12</f>
        <v>3.0774303998316497</v>
      </c>
      <c r="E82" s="104"/>
    </row>
    <row r="83" spans="1:5" ht="13.5" thickBot="1" x14ac:dyDescent="0.25">
      <c r="A83" s="38" t="s">
        <v>8</v>
      </c>
      <c r="B83" s="318" t="s">
        <v>62</v>
      </c>
      <c r="C83" s="318"/>
      <c r="D83" s="177">
        <v>0</v>
      </c>
      <c r="E83" s="104"/>
    </row>
    <row r="84" spans="1:5" ht="13.5" thickBot="1" x14ac:dyDescent="0.25">
      <c r="B84" s="55" t="s">
        <v>145</v>
      </c>
      <c r="C84" s="56"/>
      <c r="D84" s="52">
        <f>SUM(D78:D83)</f>
        <v>192.70666399999999</v>
      </c>
      <c r="E84" s="104"/>
    </row>
    <row r="85" spans="1:5" ht="13.5" thickBot="1" x14ac:dyDescent="0.25">
      <c r="A85" s="103"/>
      <c r="B85" s="103"/>
      <c r="C85" s="103"/>
      <c r="D85" s="74"/>
      <c r="E85" s="103"/>
    </row>
    <row r="86" spans="1:5" ht="15.75" x14ac:dyDescent="0.25">
      <c r="A86" s="320" t="s">
        <v>124</v>
      </c>
      <c r="B86" s="321"/>
      <c r="C86" s="321"/>
      <c r="D86" s="322"/>
      <c r="E86" s="103"/>
    </row>
    <row r="87" spans="1:5" x14ac:dyDescent="0.2">
      <c r="A87" s="12">
        <v>4</v>
      </c>
      <c r="B87" s="350" t="s">
        <v>125</v>
      </c>
      <c r="C87" s="351"/>
      <c r="D87" s="11" t="s">
        <v>30</v>
      </c>
      <c r="E87" s="103"/>
    </row>
    <row r="88" spans="1:5" x14ac:dyDescent="0.2">
      <c r="A88" s="12" t="s">
        <v>144</v>
      </c>
      <c r="B88" s="363" t="s">
        <v>125</v>
      </c>
      <c r="C88" s="364"/>
      <c r="D88" s="42">
        <f>D84</f>
        <v>192.70666399999999</v>
      </c>
      <c r="E88" s="103"/>
    </row>
    <row r="89" spans="1:5" ht="13.5" thickBot="1" x14ac:dyDescent="0.25">
      <c r="A89" s="103"/>
      <c r="B89" s="369" t="s">
        <v>145</v>
      </c>
      <c r="C89" s="370"/>
      <c r="D89" s="52">
        <f>SUM(D88:D88)</f>
        <v>192.70666399999999</v>
      </c>
      <c r="E89" s="103"/>
    </row>
    <row r="90" spans="1:5" ht="13.5" thickBot="1" x14ac:dyDescent="0.25">
      <c r="A90" s="103"/>
      <c r="B90" s="103"/>
      <c r="C90" s="103"/>
      <c r="D90" s="107"/>
      <c r="E90" s="103"/>
    </row>
    <row r="91" spans="1:5" ht="15.75" x14ac:dyDescent="0.25">
      <c r="A91" s="320" t="s">
        <v>171</v>
      </c>
      <c r="B91" s="321"/>
      <c r="C91" s="321"/>
      <c r="D91" s="322"/>
    </row>
    <row r="92" spans="1:5" x14ac:dyDescent="0.2">
      <c r="A92" s="12">
        <v>5</v>
      </c>
      <c r="B92" s="314" t="s">
        <v>18</v>
      </c>
      <c r="C92" s="314"/>
      <c r="D92" s="11" t="s">
        <v>30</v>
      </c>
    </row>
    <row r="93" spans="1:5" x14ac:dyDescent="0.2">
      <c r="A93" s="12" t="s">
        <v>2</v>
      </c>
      <c r="B93" s="323" t="s">
        <v>36</v>
      </c>
      <c r="C93" s="324"/>
      <c r="D93" s="42">
        <f>Uniformes!H35</f>
        <v>0</v>
      </c>
    </row>
    <row r="94" spans="1:5" x14ac:dyDescent="0.2">
      <c r="A94" s="12" t="s">
        <v>3</v>
      </c>
      <c r="B94" s="323" t="s">
        <v>191</v>
      </c>
      <c r="C94" s="324"/>
      <c r="D94" s="77">
        <f>'EPI''s'!H26</f>
        <v>0</v>
      </c>
    </row>
    <row r="95" spans="1:5" x14ac:dyDescent="0.2">
      <c r="A95" s="12" t="s">
        <v>4</v>
      </c>
      <c r="B95" s="324" t="s">
        <v>63</v>
      </c>
      <c r="C95" s="324"/>
      <c r="D95" s="77">
        <f>SUM(((E32+D38)/30)*0.021%)/12</f>
        <v>6.4814814814814824E-4</v>
      </c>
    </row>
    <row r="96" spans="1:5" x14ac:dyDescent="0.2">
      <c r="A96" s="12" t="s">
        <v>6</v>
      </c>
      <c r="B96" s="362" t="s">
        <v>62</v>
      </c>
      <c r="C96" s="362"/>
      <c r="D96" s="168">
        <v>0</v>
      </c>
    </row>
    <row r="97" spans="1:7" ht="13.5" thickBot="1" x14ac:dyDescent="0.25">
      <c r="B97" s="55" t="s">
        <v>59</v>
      </c>
      <c r="C97" s="56"/>
      <c r="D97" s="52">
        <f>SUM(D93:D96)</f>
        <v>6.4814814814814824E-4</v>
      </c>
    </row>
    <row r="98" spans="1:7" ht="13.5" thickBot="1" x14ac:dyDescent="0.25">
      <c r="A98" s="307"/>
      <c r="B98" s="307"/>
      <c r="C98" s="307"/>
      <c r="D98" s="307"/>
      <c r="E98" s="307"/>
    </row>
    <row r="99" spans="1:7" ht="16.5" thickBot="1" x14ac:dyDescent="0.3">
      <c r="A99" s="375" t="s">
        <v>126</v>
      </c>
      <c r="B99" s="376"/>
      <c r="C99" s="376"/>
      <c r="D99" s="376"/>
      <c r="E99" s="377"/>
    </row>
    <row r="100" spans="1:7" x14ac:dyDescent="0.2">
      <c r="A100" s="49">
        <v>6</v>
      </c>
      <c r="B100" s="368" t="s">
        <v>43</v>
      </c>
      <c r="C100" s="368"/>
      <c r="D100" s="106" t="s">
        <v>38</v>
      </c>
      <c r="E100" s="51" t="s">
        <v>30</v>
      </c>
    </row>
    <row r="101" spans="1:7" x14ac:dyDescent="0.2">
      <c r="A101" s="12" t="s">
        <v>2</v>
      </c>
      <c r="B101" s="306" t="s">
        <v>44</v>
      </c>
      <c r="C101" s="306"/>
      <c r="D101" s="59">
        <v>0.05</v>
      </c>
      <c r="E101" s="42">
        <f>D116*D101</f>
        <v>95.973500000000001</v>
      </c>
    </row>
    <row r="102" spans="1:7" x14ac:dyDescent="0.2">
      <c r="A102" s="12" t="s">
        <v>3</v>
      </c>
      <c r="B102" s="308" t="s">
        <v>64</v>
      </c>
      <c r="C102" s="306"/>
      <c r="D102" s="170">
        <v>0.05</v>
      </c>
      <c r="E102" s="19">
        <f>(D116+E101)*D102</f>
        <v>100.772175</v>
      </c>
    </row>
    <row r="103" spans="1:7" x14ac:dyDescent="0.2">
      <c r="A103" s="14" t="s">
        <v>4</v>
      </c>
      <c r="B103" s="308" t="s">
        <v>146</v>
      </c>
      <c r="C103" s="306"/>
      <c r="D103" s="100">
        <f>D104+D105+D106</f>
        <v>0.14250000000000002</v>
      </c>
      <c r="E103" s="19">
        <f>($D$116+$E$101+$E$102)*D103/(1-$D$103)</f>
        <v>351.67432500000007</v>
      </c>
    </row>
    <row r="104" spans="1:7" x14ac:dyDescent="0.2">
      <c r="A104" s="14" t="s">
        <v>149</v>
      </c>
      <c r="B104" s="308" t="s">
        <v>147</v>
      </c>
      <c r="C104" s="306"/>
      <c r="D104" s="60">
        <v>1.6500000000000001E-2</v>
      </c>
      <c r="E104" s="19">
        <f>($D$116+$E$101+$E$102)*D104/(1-$D$103)</f>
        <v>40.720185000000008</v>
      </c>
    </row>
    <row r="105" spans="1:7" x14ac:dyDescent="0.2">
      <c r="A105" s="14" t="s">
        <v>150</v>
      </c>
      <c r="B105" s="308" t="s">
        <v>148</v>
      </c>
      <c r="C105" s="306"/>
      <c r="D105" s="60">
        <v>7.5999999999999998E-2</v>
      </c>
      <c r="E105" s="19">
        <f>($D$116+$E$101+$E$102)*D105/(1-$D$103)</f>
        <v>187.55964</v>
      </c>
      <c r="G105" s="73"/>
    </row>
    <row r="106" spans="1:7" x14ac:dyDescent="0.2">
      <c r="A106" s="14" t="s">
        <v>151</v>
      </c>
      <c r="B106" s="308" t="s">
        <v>203</v>
      </c>
      <c r="C106" s="308"/>
      <c r="D106" s="60">
        <v>0.05</v>
      </c>
      <c r="E106" s="19">
        <f>($D$116+$E$101+$E$102-$E$41-$E$48)*D106/(1-$D$103)</f>
        <v>105.25391043083901</v>
      </c>
    </row>
    <row r="107" spans="1:7" ht="13.5" thickBot="1" x14ac:dyDescent="0.25">
      <c r="B107" s="55" t="s">
        <v>45</v>
      </c>
      <c r="C107" s="56"/>
      <c r="D107" s="57">
        <f>D101+D102+D103</f>
        <v>0.24250000000000002</v>
      </c>
      <c r="E107" s="52">
        <f>E101+E102+E104+E105+E106</f>
        <v>530.27941043083899</v>
      </c>
      <c r="G107" s="45"/>
    </row>
    <row r="108" spans="1:7" ht="13.5" thickBot="1" x14ac:dyDescent="0.25">
      <c r="A108" s="354"/>
      <c r="B108" s="354"/>
      <c r="C108" s="354"/>
      <c r="D108" s="354"/>
      <c r="E108" s="354"/>
      <c r="G108" s="45"/>
    </row>
    <row r="109" spans="1:7" ht="15.75" x14ac:dyDescent="0.25">
      <c r="A109" s="320" t="s">
        <v>47</v>
      </c>
      <c r="B109" s="321"/>
      <c r="C109" s="321"/>
      <c r="D109" s="322"/>
      <c r="G109" s="45"/>
    </row>
    <row r="110" spans="1:7" x14ac:dyDescent="0.2">
      <c r="A110" s="12">
        <v>5</v>
      </c>
      <c r="B110" s="314" t="s">
        <v>46</v>
      </c>
      <c r="C110" s="314"/>
      <c r="D110" s="11" t="s">
        <v>30</v>
      </c>
      <c r="G110" s="45"/>
    </row>
    <row r="111" spans="1:7" x14ac:dyDescent="0.2">
      <c r="A111" s="12" t="s">
        <v>2</v>
      </c>
      <c r="B111" s="306" t="s">
        <v>27</v>
      </c>
      <c r="C111" s="306"/>
      <c r="D111" s="42">
        <f>E32</f>
        <v>1000</v>
      </c>
      <c r="G111" s="45"/>
    </row>
    <row r="112" spans="1:7" x14ac:dyDescent="0.2">
      <c r="A112" s="12" t="s">
        <v>3</v>
      </c>
      <c r="B112" s="308" t="s">
        <v>136</v>
      </c>
      <c r="C112" s="306"/>
      <c r="D112" s="19">
        <f>D64</f>
        <v>658</v>
      </c>
      <c r="G112" s="53"/>
    </row>
    <row r="113" spans="1:7" x14ac:dyDescent="0.2">
      <c r="A113" s="12" t="s">
        <v>4</v>
      </c>
      <c r="B113" s="308" t="s">
        <v>122</v>
      </c>
      <c r="C113" s="306"/>
      <c r="D113" s="19">
        <f>D74</f>
        <v>68.762222222222221</v>
      </c>
      <c r="G113" s="45"/>
    </row>
    <row r="114" spans="1:7" x14ac:dyDescent="0.2">
      <c r="A114" s="14" t="s">
        <v>6</v>
      </c>
      <c r="B114" s="308" t="s">
        <v>137</v>
      </c>
      <c r="C114" s="306"/>
      <c r="D114" s="19">
        <f>D89</f>
        <v>192.70666399999999</v>
      </c>
    </row>
    <row r="115" spans="1:7" x14ac:dyDescent="0.2">
      <c r="A115" s="89" t="s">
        <v>7</v>
      </c>
      <c r="B115" s="308" t="s">
        <v>160</v>
      </c>
      <c r="C115" s="308"/>
      <c r="D115" s="88">
        <f>D97</f>
        <v>6.4814814814814824E-4</v>
      </c>
      <c r="G115" s="53"/>
    </row>
    <row r="116" spans="1:7" x14ac:dyDescent="0.2">
      <c r="A116" s="372" t="s">
        <v>163</v>
      </c>
      <c r="B116" s="373"/>
      <c r="C116" s="374"/>
      <c r="D116" s="58">
        <f>ROUND(SUM(D111:D115),2)</f>
        <v>1919.47</v>
      </c>
    </row>
    <row r="117" spans="1:7" ht="13.5" thickBot="1" x14ac:dyDescent="0.25">
      <c r="A117" s="23" t="s">
        <v>8</v>
      </c>
      <c r="B117" s="319" t="s">
        <v>126</v>
      </c>
      <c r="C117" s="319"/>
      <c r="D117" s="20">
        <f>ROUND(E107,2)</f>
        <v>530.28</v>
      </c>
    </row>
    <row r="118" spans="1:7" ht="13.5" thickBot="1" x14ac:dyDescent="0.25">
      <c r="B118" s="365" t="s">
        <v>49</v>
      </c>
      <c r="C118" s="366"/>
      <c r="D118" s="52">
        <f>ROUND((D116+D117),2)</f>
        <v>2449.75</v>
      </c>
      <c r="E118" s="45"/>
      <c r="G118" s="54"/>
    </row>
    <row r="119" spans="1:7" ht="13.5" thickBot="1" x14ac:dyDescent="0.25">
      <c r="A119" s="354"/>
      <c r="B119" s="354"/>
      <c r="C119" s="354"/>
      <c r="D119" s="354"/>
      <c r="E119" s="354"/>
    </row>
    <row r="120" spans="1:7" ht="15.75" x14ac:dyDescent="0.25">
      <c r="A120" s="320" t="s">
        <v>58</v>
      </c>
      <c r="B120" s="321"/>
      <c r="C120" s="321"/>
      <c r="D120" s="322"/>
    </row>
    <row r="121" spans="1:7" x14ac:dyDescent="0.2">
      <c r="A121" s="12">
        <v>5</v>
      </c>
      <c r="B121" s="314" t="s">
        <v>46</v>
      </c>
      <c r="C121" s="314"/>
      <c r="D121" s="11" t="s">
        <v>30</v>
      </c>
    </row>
    <row r="122" spans="1:7" x14ac:dyDescent="0.2">
      <c r="A122" s="12" t="s">
        <v>2</v>
      </c>
      <c r="B122" s="306" t="s">
        <v>27</v>
      </c>
      <c r="C122" s="306"/>
      <c r="D122" s="42">
        <f>D111*TOTAIS!F26</f>
        <v>6000</v>
      </c>
    </row>
    <row r="123" spans="1:7" x14ac:dyDescent="0.2">
      <c r="A123" s="12" t="s">
        <v>3</v>
      </c>
      <c r="B123" s="306" t="s">
        <v>33</v>
      </c>
      <c r="C123" s="306"/>
      <c r="D123" s="19">
        <f>D112*TOTAIS!F26</f>
        <v>3948</v>
      </c>
    </row>
    <row r="124" spans="1:7" x14ac:dyDescent="0.2">
      <c r="A124" s="12" t="s">
        <v>4</v>
      </c>
      <c r="B124" s="306" t="s">
        <v>35</v>
      </c>
      <c r="C124" s="306"/>
      <c r="D124" s="19">
        <f>D113*TOTAIS!F26</f>
        <v>412.57333333333332</v>
      </c>
    </row>
    <row r="125" spans="1:7" x14ac:dyDescent="0.2">
      <c r="A125" s="14" t="s">
        <v>6</v>
      </c>
      <c r="B125" s="306" t="s">
        <v>48</v>
      </c>
      <c r="C125" s="306"/>
      <c r="D125" s="19">
        <f>D114*TOTAIS!F26</f>
        <v>1156.2399839999998</v>
      </c>
    </row>
    <row r="126" spans="1:7" x14ac:dyDescent="0.2">
      <c r="A126" s="89" t="s">
        <v>7</v>
      </c>
      <c r="B126" s="308" t="s">
        <v>160</v>
      </c>
      <c r="C126" s="308"/>
      <c r="D126" s="19">
        <f>D115*TOTAIS!F26</f>
        <v>3.8888888888888896E-3</v>
      </c>
    </row>
    <row r="127" spans="1:7" x14ac:dyDescent="0.2">
      <c r="A127" s="372" t="s">
        <v>57</v>
      </c>
      <c r="B127" s="373"/>
      <c r="C127" s="374"/>
      <c r="D127" s="58">
        <f>SUM(D122:D126)</f>
        <v>11516.817206222222</v>
      </c>
    </row>
    <row r="128" spans="1:7" ht="13.5" thickBot="1" x14ac:dyDescent="0.25">
      <c r="A128" s="23" t="s">
        <v>8</v>
      </c>
      <c r="B128" s="319" t="s">
        <v>126</v>
      </c>
      <c r="C128" s="319"/>
      <c r="D128" s="20">
        <f>D117*TOTAIS!F26</f>
        <v>3181.68</v>
      </c>
    </row>
    <row r="129" spans="2:4" ht="13.5" thickBot="1" x14ac:dyDescent="0.25">
      <c r="B129" s="365" t="s">
        <v>55</v>
      </c>
      <c r="C129" s="366"/>
      <c r="D129" s="52">
        <f>D127+D128</f>
        <v>14698.497206222222</v>
      </c>
    </row>
  </sheetData>
  <mergeCells count="121">
    <mergeCell ref="A116:C116"/>
    <mergeCell ref="B117:C117"/>
    <mergeCell ref="A119:E119"/>
    <mergeCell ref="A120:D120"/>
    <mergeCell ref="B121:C121"/>
    <mergeCell ref="A127:C127"/>
    <mergeCell ref="B128:C128"/>
    <mergeCell ref="A1:E1"/>
    <mergeCell ref="A2:E2"/>
    <mergeCell ref="A3:E3"/>
    <mergeCell ref="A4:D4"/>
    <mergeCell ref="A5:C5"/>
    <mergeCell ref="A6:C6"/>
    <mergeCell ref="A59:D59"/>
    <mergeCell ref="B60:C60"/>
    <mergeCell ref="A66:D66"/>
    <mergeCell ref="B13:C13"/>
    <mergeCell ref="B14:C14"/>
    <mergeCell ref="A15:E15"/>
    <mergeCell ref="A16:D16"/>
    <mergeCell ref="B17:C17"/>
    <mergeCell ref="B18:C18"/>
    <mergeCell ref="A7:C7"/>
    <mergeCell ref="A8:C8"/>
    <mergeCell ref="A9:E9"/>
    <mergeCell ref="A10:D10"/>
    <mergeCell ref="B11:C11"/>
    <mergeCell ref="B12:C12"/>
    <mergeCell ref="B25:C25"/>
    <mergeCell ref="B26:C26"/>
    <mergeCell ref="B27:C27"/>
    <mergeCell ref="B28:C28"/>
    <mergeCell ref="B30:C30"/>
    <mergeCell ref="B19:C19"/>
    <mergeCell ref="B20:C20"/>
    <mergeCell ref="A21:E21"/>
    <mergeCell ref="A22:E22"/>
    <mergeCell ref="B23:C23"/>
    <mergeCell ref="B24:C24"/>
    <mergeCell ref="B37:C37"/>
    <mergeCell ref="B38:C38"/>
    <mergeCell ref="B29:C29"/>
    <mergeCell ref="A39:E39"/>
    <mergeCell ref="B40:C40"/>
    <mergeCell ref="B41:C41"/>
    <mergeCell ref="B42:C42"/>
    <mergeCell ref="B31:C31"/>
    <mergeCell ref="B32:D32"/>
    <mergeCell ref="A33:E33"/>
    <mergeCell ref="A34:D34"/>
    <mergeCell ref="B35:C35"/>
    <mergeCell ref="B36:C36"/>
    <mergeCell ref="B49:C49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63:C63"/>
    <mergeCell ref="B64:C64"/>
    <mergeCell ref="B68:C68"/>
    <mergeCell ref="B69:C69"/>
    <mergeCell ref="B56:C56"/>
    <mergeCell ref="B57:C57"/>
    <mergeCell ref="B61:C61"/>
    <mergeCell ref="B62:C62"/>
    <mergeCell ref="B67:C67"/>
    <mergeCell ref="B78:C78"/>
    <mergeCell ref="B79:C79"/>
    <mergeCell ref="B80:C80"/>
    <mergeCell ref="B81:C81"/>
    <mergeCell ref="B70:C70"/>
    <mergeCell ref="B71:C71"/>
    <mergeCell ref="B72:C72"/>
    <mergeCell ref="B74:C74"/>
    <mergeCell ref="A75:E75"/>
    <mergeCell ref="A76:D76"/>
    <mergeCell ref="B77:C77"/>
    <mergeCell ref="B73:C73"/>
    <mergeCell ref="B100:C100"/>
    <mergeCell ref="A108:E108"/>
    <mergeCell ref="B93:C93"/>
    <mergeCell ref="B94:C94"/>
    <mergeCell ref="B95:C95"/>
    <mergeCell ref="B96:C96"/>
    <mergeCell ref="B82:C82"/>
    <mergeCell ref="B83:C83"/>
    <mergeCell ref="A86:D86"/>
    <mergeCell ref="B87:C87"/>
    <mergeCell ref="A91:D91"/>
    <mergeCell ref="B92:C92"/>
    <mergeCell ref="A109:D109"/>
    <mergeCell ref="B110:C110"/>
    <mergeCell ref="B129:C129"/>
    <mergeCell ref="B89:C89"/>
    <mergeCell ref="B88:C88"/>
    <mergeCell ref="B123:C123"/>
    <mergeCell ref="B124:C124"/>
    <mergeCell ref="B125:C125"/>
    <mergeCell ref="B126:C126"/>
    <mergeCell ref="B118:C118"/>
    <mergeCell ref="B122:C122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A99:E99"/>
    <mergeCell ref="B101:C101"/>
    <mergeCell ref="B102:C102"/>
    <mergeCell ref="B103:C103"/>
    <mergeCell ref="A98:E98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5"/>
  <dimension ref="A1:G129"/>
  <sheetViews>
    <sheetView showGridLines="0" topLeftCell="A28" workbookViewId="0">
      <selection activeCell="B72" sqref="B72:C72"/>
    </sheetView>
  </sheetViews>
  <sheetFormatPr defaultRowHeight="12.75" x14ac:dyDescent="0.2"/>
  <cols>
    <col min="1" max="1" width="3.7109375" style="104" customWidth="1"/>
    <col min="2" max="2" width="24.7109375" style="16" customWidth="1"/>
    <col min="3" max="3" width="28.7109375" style="16" customWidth="1"/>
    <col min="4" max="4" width="32.85546875" style="16" bestFit="1" customWidth="1"/>
    <col min="5" max="5" width="28.7109375" style="16" customWidth="1"/>
    <col min="6" max="6" width="9.140625" style="16"/>
    <col min="7" max="7" width="12.28515625" style="16" bestFit="1" customWidth="1"/>
    <col min="8" max="8" width="12.140625" style="16" bestFit="1" customWidth="1"/>
    <col min="9" max="10" width="10.5703125" style="16" bestFit="1" customWidth="1"/>
    <col min="11" max="11" width="9.5703125" style="16" bestFit="1" customWidth="1"/>
    <col min="12" max="16384" width="9.140625" style="16"/>
  </cols>
  <sheetData>
    <row r="1" spans="1:5" ht="20.25" x14ac:dyDescent="0.3">
      <c r="A1" s="336" t="s">
        <v>0</v>
      </c>
      <c r="B1" s="337"/>
      <c r="C1" s="337"/>
      <c r="D1" s="337"/>
      <c r="E1" s="338"/>
    </row>
    <row r="2" spans="1:5" ht="20.25" x14ac:dyDescent="0.3">
      <c r="A2" s="339" t="str">
        <f>TOTAIS!A6</f>
        <v>FORNECEDOR</v>
      </c>
      <c r="B2" s="340"/>
      <c r="C2" s="340"/>
      <c r="D2" s="340"/>
      <c r="E2" s="341"/>
    </row>
    <row r="3" spans="1:5" ht="21" thickBot="1" x14ac:dyDescent="0.35">
      <c r="A3" s="342" t="str">
        <f>D19</f>
        <v>Encarregado - 44 horas semanais (Segunda a Sexta)</v>
      </c>
      <c r="B3" s="343"/>
      <c r="C3" s="343"/>
      <c r="D3" s="343"/>
      <c r="E3" s="344"/>
    </row>
    <row r="4" spans="1:5" ht="13.5" thickBot="1" x14ac:dyDescent="0.25">
      <c r="A4" s="292"/>
      <c r="B4" s="292"/>
      <c r="C4" s="292"/>
      <c r="D4" s="292"/>
      <c r="E4" s="25"/>
    </row>
    <row r="5" spans="1:5" x14ac:dyDescent="0.2">
      <c r="A5" s="327" t="s">
        <v>1</v>
      </c>
      <c r="B5" s="328"/>
      <c r="C5" s="328"/>
      <c r="D5" s="26" t="str">
        <f>TOTAIS!D9</f>
        <v>23759.020964/2019-25</v>
      </c>
      <c r="E5" s="27"/>
    </row>
    <row r="6" spans="1:5" x14ac:dyDescent="0.2">
      <c r="A6" s="334" t="s">
        <v>19</v>
      </c>
      <c r="B6" s="335"/>
      <c r="C6" s="335"/>
      <c r="D6" s="28" t="str">
        <f>TOTAIS!D10</f>
        <v>Pregão nº ___/20XX</v>
      </c>
      <c r="E6" s="27"/>
    </row>
    <row r="7" spans="1:5" x14ac:dyDescent="0.2">
      <c r="A7" s="345" t="s">
        <v>61</v>
      </c>
      <c r="B7" s="346"/>
      <c r="C7" s="346"/>
      <c r="D7" s="28" t="str">
        <f>TOTAIS!E9</f>
        <v>Lucro Real</v>
      </c>
      <c r="E7" s="27"/>
    </row>
    <row r="8" spans="1:5" ht="13.5" thickBot="1" x14ac:dyDescent="0.25">
      <c r="A8" s="309" t="s">
        <v>56</v>
      </c>
      <c r="B8" s="310"/>
      <c r="C8" s="310"/>
      <c r="D8" s="29">
        <f>TOTAIS!E27</f>
        <v>1</v>
      </c>
      <c r="E8" s="27"/>
    </row>
    <row r="9" spans="1:5" ht="13.5" thickBot="1" x14ac:dyDescent="0.25">
      <c r="A9" s="311"/>
      <c r="B9" s="311"/>
      <c r="C9" s="311"/>
      <c r="D9" s="311"/>
      <c r="E9" s="311"/>
    </row>
    <row r="10" spans="1:5" ht="15.75" x14ac:dyDescent="0.25">
      <c r="A10" s="329" t="s">
        <v>20</v>
      </c>
      <c r="B10" s="330"/>
      <c r="C10" s="330"/>
      <c r="D10" s="331"/>
      <c r="E10" s="27"/>
    </row>
    <row r="11" spans="1:5" x14ac:dyDescent="0.2">
      <c r="A11" s="30" t="s">
        <v>2</v>
      </c>
      <c r="B11" s="312" t="s">
        <v>52</v>
      </c>
      <c r="C11" s="313"/>
      <c r="D11" s="31" t="str">
        <f>TOTAIS!D12</f>
        <v>__/__/20__</v>
      </c>
      <c r="E11" s="27"/>
    </row>
    <row r="12" spans="1:5" x14ac:dyDescent="0.2">
      <c r="A12" s="30" t="s">
        <v>3</v>
      </c>
      <c r="B12" s="312" t="s">
        <v>50</v>
      </c>
      <c r="C12" s="313"/>
      <c r="D12" s="32" t="str">
        <f>TOTAIS!D16</f>
        <v>Curitiba/PR</v>
      </c>
      <c r="E12" s="27"/>
    </row>
    <row r="13" spans="1:5" x14ac:dyDescent="0.2">
      <c r="A13" s="30" t="s">
        <v>4</v>
      </c>
      <c r="B13" s="312" t="s">
        <v>5</v>
      </c>
      <c r="C13" s="313"/>
      <c r="D13" s="33" t="str">
        <f>TOTAIS!D17</f>
        <v>CCT 2019/2020</v>
      </c>
      <c r="E13" s="27"/>
    </row>
    <row r="14" spans="1:5" ht="13.5" thickBot="1" x14ac:dyDescent="0.25">
      <c r="A14" s="34" t="s">
        <v>6</v>
      </c>
      <c r="B14" s="332" t="s">
        <v>53</v>
      </c>
      <c r="C14" s="333"/>
      <c r="D14" s="35">
        <f>TOTAIS!D18</f>
        <v>12</v>
      </c>
      <c r="E14" s="27"/>
    </row>
    <row r="15" spans="1:5" ht="13.5" thickBot="1" x14ac:dyDescent="0.25">
      <c r="A15" s="311"/>
      <c r="B15" s="311"/>
      <c r="C15" s="311"/>
      <c r="D15" s="311"/>
      <c r="E15" s="311"/>
    </row>
    <row r="16" spans="1:5" ht="15.75" x14ac:dyDescent="0.25">
      <c r="A16" s="347" t="s">
        <v>24</v>
      </c>
      <c r="B16" s="348"/>
      <c r="C16" s="348"/>
      <c r="D16" s="349"/>
    </row>
    <row r="17" spans="1:5" x14ac:dyDescent="0.2">
      <c r="A17" s="12">
        <v>1</v>
      </c>
      <c r="B17" s="306" t="s">
        <v>22</v>
      </c>
      <c r="C17" s="306"/>
      <c r="D17" s="36" t="s">
        <v>156</v>
      </c>
    </row>
    <row r="18" spans="1:5" x14ac:dyDescent="0.2">
      <c r="A18" s="12">
        <v>2</v>
      </c>
      <c r="B18" s="306" t="s">
        <v>25</v>
      </c>
      <c r="C18" s="306"/>
      <c r="D18" s="102">
        <f>TOTAIS!H27</f>
        <v>1000</v>
      </c>
    </row>
    <row r="19" spans="1:5" x14ac:dyDescent="0.2">
      <c r="A19" s="12">
        <v>3</v>
      </c>
      <c r="B19" s="306" t="s">
        <v>26</v>
      </c>
      <c r="C19" s="306"/>
      <c r="D19" s="123" t="str">
        <f>TOTAIS!A27</f>
        <v>Encarregado - 44 horas semanais (Segunda a Sexta)</v>
      </c>
    </row>
    <row r="20" spans="1:5" ht="13.5" thickBot="1" x14ac:dyDescent="0.25">
      <c r="A20" s="38">
        <v>4</v>
      </c>
      <c r="B20" s="319" t="s">
        <v>51</v>
      </c>
      <c r="C20" s="319"/>
      <c r="D20" s="39" t="str">
        <f>TOTAIS!F16</f>
        <v>Validade CCT</v>
      </c>
    </row>
    <row r="21" spans="1:5" ht="13.5" thickBot="1" x14ac:dyDescent="0.25">
      <c r="A21" s="307"/>
      <c r="B21" s="307"/>
      <c r="C21" s="307"/>
      <c r="D21" s="307"/>
      <c r="E21" s="307"/>
    </row>
    <row r="22" spans="1:5" ht="15.75" x14ac:dyDescent="0.25">
      <c r="A22" s="315" t="s">
        <v>27</v>
      </c>
      <c r="B22" s="316"/>
      <c r="C22" s="316"/>
      <c r="D22" s="316"/>
      <c r="E22" s="317"/>
    </row>
    <row r="23" spans="1:5" x14ac:dyDescent="0.2">
      <c r="A23" s="12">
        <v>1</v>
      </c>
      <c r="B23" s="314" t="s">
        <v>28</v>
      </c>
      <c r="C23" s="314"/>
      <c r="D23" s="40" t="s">
        <v>29</v>
      </c>
      <c r="E23" s="11" t="s">
        <v>30</v>
      </c>
    </row>
    <row r="24" spans="1:5" x14ac:dyDescent="0.2">
      <c r="A24" s="12" t="s">
        <v>2</v>
      </c>
      <c r="B24" s="306" t="s">
        <v>31</v>
      </c>
      <c r="C24" s="306"/>
      <c r="D24" s="41"/>
      <c r="E24" s="42">
        <f>TOTAIS!H27</f>
        <v>1000</v>
      </c>
    </row>
    <row r="25" spans="1:5" x14ac:dyDescent="0.2">
      <c r="A25" s="12" t="s">
        <v>3</v>
      </c>
      <c r="B25" s="306" t="s">
        <v>10</v>
      </c>
      <c r="C25" s="306"/>
      <c r="D25" s="69">
        <f>Matriz!F12</f>
        <v>0</v>
      </c>
      <c r="E25" s="19">
        <f>E24*D25</f>
        <v>0</v>
      </c>
    </row>
    <row r="26" spans="1:5" x14ac:dyDescent="0.2">
      <c r="A26" s="12" t="s">
        <v>4</v>
      </c>
      <c r="B26" s="306" t="s">
        <v>11</v>
      </c>
      <c r="C26" s="306"/>
      <c r="D26" s="69">
        <f>Matriz!G12</f>
        <v>0</v>
      </c>
      <c r="E26" s="19">
        <f>D26*TOTAIS!F48</f>
        <v>0</v>
      </c>
    </row>
    <row r="27" spans="1:5" x14ac:dyDescent="0.2">
      <c r="A27" s="14" t="s">
        <v>7</v>
      </c>
      <c r="B27" s="306" t="s">
        <v>32</v>
      </c>
      <c r="C27" s="306"/>
      <c r="D27" s="69">
        <f>Matriz!H12</f>
        <v>0</v>
      </c>
      <c r="E27" s="19">
        <f>(((((SUM(E24:E26)/220)*D27)*7)*7)*4.35)/2</f>
        <v>0</v>
      </c>
    </row>
    <row r="28" spans="1:5" x14ac:dyDescent="0.2">
      <c r="A28" s="14" t="s">
        <v>8</v>
      </c>
      <c r="B28" s="306" t="s">
        <v>196</v>
      </c>
      <c r="C28" s="306"/>
      <c r="D28" s="41">
        <v>0</v>
      </c>
      <c r="E28" s="19">
        <f>IF(E27&lt;&gt; 0,((((((SUM(E24:E26)/220)*D27)+(SUM(E24:E26)/220))*0.875)*7)*4.35)/2,0)</f>
        <v>0</v>
      </c>
    </row>
    <row r="29" spans="1:5" x14ac:dyDescent="0.2">
      <c r="A29" s="172" t="s">
        <v>9</v>
      </c>
      <c r="B29" s="325" t="s">
        <v>198</v>
      </c>
      <c r="C29" s="326"/>
      <c r="D29" s="173">
        <v>0</v>
      </c>
      <c r="E29" s="19">
        <v>0</v>
      </c>
    </row>
    <row r="30" spans="1:5" ht="13.5" thickBot="1" x14ac:dyDescent="0.25">
      <c r="A30" s="23" t="s">
        <v>9</v>
      </c>
      <c r="B30" s="323" t="s">
        <v>131</v>
      </c>
      <c r="C30" s="324"/>
      <c r="D30" s="43">
        <v>0</v>
      </c>
      <c r="E30" s="19">
        <f>IF(CCT!I12="SIM",(E24+E25+E26)*((((11*71.429%)+3)/365.25)*100)%*50%*100%,0)</f>
        <v>0</v>
      </c>
    </row>
    <row r="31" spans="1:5" ht="13.5" thickBot="1" x14ac:dyDescent="0.25">
      <c r="A31" s="23" t="s">
        <v>13</v>
      </c>
      <c r="B31" s="318" t="s">
        <v>62</v>
      </c>
      <c r="C31" s="318"/>
      <c r="D31" s="171">
        <v>0</v>
      </c>
      <c r="E31" s="112">
        <f>D31*E24</f>
        <v>0</v>
      </c>
    </row>
    <row r="32" spans="1:5" ht="13.5" thickBot="1" x14ac:dyDescent="0.25">
      <c r="B32" s="359" t="s">
        <v>138</v>
      </c>
      <c r="C32" s="360"/>
      <c r="D32" s="360"/>
      <c r="E32" s="44">
        <f>SUM(E24:E31)</f>
        <v>1000</v>
      </c>
    </row>
    <row r="33" spans="1:5" ht="13.5" thickBot="1" x14ac:dyDescent="0.25">
      <c r="A33" s="354"/>
      <c r="B33" s="354"/>
      <c r="C33" s="354"/>
      <c r="D33" s="354"/>
      <c r="E33" s="354"/>
    </row>
    <row r="34" spans="1:5" ht="15.75" x14ac:dyDescent="0.25">
      <c r="A34" s="320" t="s">
        <v>128</v>
      </c>
      <c r="B34" s="321"/>
      <c r="C34" s="321"/>
      <c r="D34" s="322"/>
    </row>
    <row r="35" spans="1:5" x14ac:dyDescent="0.2">
      <c r="A35" s="12" t="s">
        <v>115</v>
      </c>
      <c r="B35" s="350" t="s">
        <v>157</v>
      </c>
      <c r="C35" s="351"/>
      <c r="D35" s="11" t="s">
        <v>30</v>
      </c>
    </row>
    <row r="36" spans="1:5" x14ac:dyDescent="0.2">
      <c r="A36" s="12" t="s">
        <v>2</v>
      </c>
      <c r="B36" s="325" t="s">
        <v>180</v>
      </c>
      <c r="C36" s="326"/>
      <c r="D36" s="42">
        <f>E32/12</f>
        <v>83.333333333333329</v>
      </c>
    </row>
    <row r="37" spans="1:5" ht="13.5" thickBot="1" x14ac:dyDescent="0.25">
      <c r="A37" s="12" t="s">
        <v>3</v>
      </c>
      <c r="B37" s="325" t="s">
        <v>181</v>
      </c>
      <c r="C37" s="326"/>
      <c r="D37" s="19">
        <f>E32*1/3/12</f>
        <v>27.777777777777775</v>
      </c>
      <c r="E37" s="113"/>
    </row>
    <row r="38" spans="1:5" ht="13.5" thickBot="1" x14ac:dyDescent="0.25">
      <c r="B38" s="355" t="s">
        <v>37</v>
      </c>
      <c r="C38" s="356"/>
      <c r="D38" s="44">
        <f>SUM(D36:D37)</f>
        <v>111.1111111111111</v>
      </c>
    </row>
    <row r="39" spans="1:5" x14ac:dyDescent="0.2">
      <c r="A39" s="354"/>
      <c r="B39" s="354"/>
      <c r="C39" s="354"/>
      <c r="D39" s="354"/>
      <c r="E39" s="354"/>
    </row>
    <row r="40" spans="1:5" x14ac:dyDescent="0.2">
      <c r="A40" s="12" t="s">
        <v>116</v>
      </c>
      <c r="B40" s="350" t="s">
        <v>127</v>
      </c>
      <c r="C40" s="351"/>
      <c r="D40" s="11" t="s">
        <v>38</v>
      </c>
      <c r="E40" s="11" t="s">
        <v>30</v>
      </c>
    </row>
    <row r="41" spans="1:5" x14ac:dyDescent="0.2">
      <c r="A41" s="12" t="s">
        <v>2</v>
      </c>
      <c r="B41" s="306" t="s">
        <v>54</v>
      </c>
      <c r="C41" s="306"/>
      <c r="D41" s="46">
        <v>0.2</v>
      </c>
      <c r="E41" s="47">
        <f>($E$32+$D$38)*D41</f>
        <v>222.22222222222223</v>
      </c>
    </row>
    <row r="42" spans="1:5" x14ac:dyDescent="0.2">
      <c r="A42" s="12" t="s">
        <v>3</v>
      </c>
      <c r="B42" s="306" t="s">
        <v>17</v>
      </c>
      <c r="C42" s="306"/>
      <c r="D42" s="46">
        <v>2.5000000000000001E-2</v>
      </c>
      <c r="E42" s="47">
        <f t="shared" ref="E42:E48" si="0">($E$32+$D$38)*D42</f>
        <v>27.777777777777779</v>
      </c>
    </row>
    <row r="43" spans="1:5" x14ac:dyDescent="0.2">
      <c r="A43" s="12" t="s">
        <v>4</v>
      </c>
      <c r="B43" s="306" t="s">
        <v>182</v>
      </c>
      <c r="C43" s="306"/>
      <c r="D43" s="170">
        <v>0.03</v>
      </c>
      <c r="E43" s="47">
        <f t="shared" si="0"/>
        <v>33.333333333333329</v>
      </c>
    </row>
    <row r="44" spans="1:5" x14ac:dyDescent="0.2">
      <c r="A44" s="12" t="s">
        <v>6</v>
      </c>
      <c r="B44" s="306" t="s">
        <v>117</v>
      </c>
      <c r="C44" s="306"/>
      <c r="D44" s="46">
        <v>1.4999999999999999E-2</v>
      </c>
      <c r="E44" s="47">
        <f t="shared" si="0"/>
        <v>16.666666666666664</v>
      </c>
    </row>
    <row r="45" spans="1:5" x14ac:dyDescent="0.2">
      <c r="A45" s="14" t="s">
        <v>7</v>
      </c>
      <c r="B45" s="306" t="s">
        <v>118</v>
      </c>
      <c r="C45" s="306"/>
      <c r="D45" s="46">
        <v>0.01</v>
      </c>
      <c r="E45" s="47">
        <f t="shared" si="0"/>
        <v>11.111111111111111</v>
      </c>
    </row>
    <row r="46" spans="1:5" x14ac:dyDescent="0.2">
      <c r="A46" s="14" t="s">
        <v>8</v>
      </c>
      <c r="B46" s="306" t="s">
        <v>16</v>
      </c>
      <c r="C46" s="306"/>
      <c r="D46" s="46">
        <v>6.0000000000000001E-3</v>
      </c>
      <c r="E46" s="47">
        <f t="shared" si="0"/>
        <v>6.666666666666667</v>
      </c>
    </row>
    <row r="47" spans="1:5" ht="13.5" thickBot="1" x14ac:dyDescent="0.25">
      <c r="A47" s="23" t="s">
        <v>9</v>
      </c>
      <c r="B47" s="306" t="s">
        <v>15</v>
      </c>
      <c r="C47" s="306"/>
      <c r="D47" s="46">
        <v>2E-3</v>
      </c>
      <c r="E47" s="47">
        <f t="shared" si="0"/>
        <v>2.2222222222222223</v>
      </c>
    </row>
    <row r="48" spans="1:5" ht="13.5" thickBot="1" x14ac:dyDescent="0.25">
      <c r="A48" s="12" t="s">
        <v>13</v>
      </c>
      <c r="B48" s="319" t="s">
        <v>14</v>
      </c>
      <c r="C48" s="319"/>
      <c r="D48" s="48">
        <v>0.08</v>
      </c>
      <c r="E48" s="47">
        <f t="shared" si="0"/>
        <v>88.888888888888886</v>
      </c>
    </row>
    <row r="49" spans="1:5" ht="13.5" thickBot="1" x14ac:dyDescent="0.25">
      <c r="B49" s="352" t="s">
        <v>139</v>
      </c>
      <c r="C49" s="353"/>
      <c r="D49" s="84">
        <f>SUM(D41:D48)</f>
        <v>0.36800000000000005</v>
      </c>
      <c r="E49" s="65">
        <f>SUM(E41:E48)</f>
        <v>408.88888888888891</v>
      </c>
    </row>
    <row r="50" spans="1:5" x14ac:dyDescent="0.2">
      <c r="B50" s="104"/>
      <c r="C50" s="104"/>
      <c r="D50" s="104"/>
      <c r="E50" s="104"/>
    </row>
    <row r="51" spans="1:5" x14ac:dyDescent="0.2">
      <c r="A51" s="12" t="s">
        <v>119</v>
      </c>
      <c r="B51" s="350" t="s">
        <v>34</v>
      </c>
      <c r="C51" s="351"/>
      <c r="D51" s="11" t="s">
        <v>30</v>
      </c>
      <c r="E51" s="104"/>
    </row>
    <row r="52" spans="1:5" x14ac:dyDescent="0.2">
      <c r="A52" s="12" t="s">
        <v>2</v>
      </c>
      <c r="B52" s="325" t="s">
        <v>120</v>
      </c>
      <c r="C52" s="326"/>
      <c r="D52" s="42">
        <f>Matriz!E24</f>
        <v>138</v>
      </c>
      <c r="E52" s="104"/>
    </row>
    <row r="53" spans="1:5" x14ac:dyDescent="0.2">
      <c r="A53" s="12" t="s">
        <v>3</v>
      </c>
      <c r="B53" s="325" t="s">
        <v>121</v>
      </c>
      <c r="C53" s="326"/>
      <c r="D53" s="19">
        <f>CCT!E12</f>
        <v>0</v>
      </c>
      <c r="E53" s="104"/>
    </row>
    <row r="54" spans="1:5" x14ac:dyDescent="0.2">
      <c r="A54" s="105" t="s">
        <v>4</v>
      </c>
      <c r="B54" s="306" t="str">
        <f>CCT!F6</f>
        <v>Auxílio Saúde</v>
      </c>
      <c r="C54" s="306"/>
      <c r="D54" s="72">
        <f>CCT!F12</f>
        <v>0</v>
      </c>
      <c r="E54" s="104"/>
    </row>
    <row r="55" spans="1:5" x14ac:dyDescent="0.2">
      <c r="A55" s="105" t="s">
        <v>6</v>
      </c>
      <c r="B55" s="306" t="str">
        <f>CCT!G6</f>
        <v>Beneficio CCT</v>
      </c>
      <c r="C55" s="306"/>
      <c r="D55" s="72">
        <f>CCT!G12</f>
        <v>0</v>
      </c>
      <c r="E55" s="104"/>
    </row>
    <row r="56" spans="1:5" x14ac:dyDescent="0.2">
      <c r="A56" s="105" t="s">
        <v>7</v>
      </c>
      <c r="B56" s="325" t="str">
        <f>CCT!H6</f>
        <v>Beneficio CCT</v>
      </c>
      <c r="C56" s="326"/>
      <c r="D56" s="72">
        <f>CCT!H12</f>
        <v>0</v>
      </c>
      <c r="E56" s="104"/>
    </row>
    <row r="57" spans="1:5" ht="13.5" thickBot="1" x14ac:dyDescent="0.25">
      <c r="B57" s="357" t="s">
        <v>140</v>
      </c>
      <c r="C57" s="358"/>
      <c r="D57" s="52">
        <f>SUM(D52:D56)</f>
        <v>138</v>
      </c>
      <c r="E57" s="104"/>
    </row>
    <row r="58" spans="1:5" ht="13.5" thickBot="1" x14ac:dyDescent="0.25">
      <c r="B58" s="104"/>
      <c r="C58" s="104"/>
      <c r="D58" s="104"/>
      <c r="E58" s="104"/>
    </row>
    <row r="59" spans="1:5" ht="16.5" thickBot="1" x14ac:dyDescent="0.3">
      <c r="A59" s="320" t="s">
        <v>129</v>
      </c>
      <c r="B59" s="321"/>
      <c r="C59" s="321"/>
      <c r="D59" s="322"/>
      <c r="E59" s="104"/>
    </row>
    <row r="60" spans="1:5" x14ac:dyDescent="0.2">
      <c r="A60" s="49">
        <v>2</v>
      </c>
      <c r="B60" s="368" t="s">
        <v>141</v>
      </c>
      <c r="C60" s="368"/>
      <c r="D60" s="51" t="s">
        <v>30</v>
      </c>
      <c r="E60" s="104"/>
    </row>
    <row r="61" spans="1:5" x14ac:dyDescent="0.2">
      <c r="A61" s="12" t="s">
        <v>115</v>
      </c>
      <c r="B61" s="306" t="str">
        <f>B35</f>
        <v>13º Salário e Adicional de Férias</v>
      </c>
      <c r="C61" s="306"/>
      <c r="D61" s="42">
        <f>D38</f>
        <v>111.1111111111111</v>
      </c>
      <c r="E61" s="104"/>
    </row>
    <row r="62" spans="1:5" x14ac:dyDescent="0.2">
      <c r="A62" s="12" t="s">
        <v>116</v>
      </c>
      <c r="B62" s="306" t="str">
        <f>B40</f>
        <v>Encargos previdenciarios, FGTS e outras contribuições</v>
      </c>
      <c r="C62" s="306"/>
      <c r="D62" s="19">
        <f>E49</f>
        <v>408.88888888888891</v>
      </c>
      <c r="E62" s="104"/>
    </row>
    <row r="63" spans="1:5" x14ac:dyDescent="0.2">
      <c r="A63" s="12" t="s">
        <v>119</v>
      </c>
      <c r="B63" s="306" t="str">
        <f>B51</f>
        <v>Benefícios Mensais e Diários</v>
      </c>
      <c r="C63" s="306"/>
      <c r="D63" s="19">
        <f>D57</f>
        <v>138</v>
      </c>
      <c r="E63" s="104"/>
    </row>
    <row r="64" spans="1:5" ht="13.5" thickBot="1" x14ac:dyDescent="0.25">
      <c r="B64" s="357" t="s">
        <v>142</v>
      </c>
      <c r="C64" s="371"/>
      <c r="D64" s="52">
        <f>SUM(D61:D63)</f>
        <v>658</v>
      </c>
      <c r="E64" s="104"/>
    </row>
    <row r="65" spans="1:6" ht="13.5" thickBot="1" x14ac:dyDescent="0.25">
      <c r="B65" s="104"/>
      <c r="C65" s="104"/>
      <c r="D65" s="104"/>
      <c r="E65" s="104"/>
    </row>
    <row r="66" spans="1:6" ht="16.5" thickBot="1" x14ac:dyDescent="0.3">
      <c r="A66" s="320" t="s">
        <v>122</v>
      </c>
      <c r="B66" s="321"/>
      <c r="C66" s="321"/>
      <c r="D66" s="322"/>
    </row>
    <row r="67" spans="1:6" x14ac:dyDescent="0.2">
      <c r="A67" s="49">
        <v>3</v>
      </c>
      <c r="B67" s="368" t="s">
        <v>40</v>
      </c>
      <c r="C67" s="368"/>
      <c r="D67" s="76" t="s">
        <v>30</v>
      </c>
    </row>
    <row r="68" spans="1:6" x14ac:dyDescent="0.2">
      <c r="A68" s="12" t="s">
        <v>2</v>
      </c>
      <c r="B68" s="324" t="s">
        <v>41</v>
      </c>
      <c r="C68" s="324"/>
      <c r="D68" s="91">
        <f>E32*(10%*(1/12))</f>
        <v>8.3333333333333339</v>
      </c>
      <c r="E68" s="115"/>
    </row>
    <row r="69" spans="1:6" x14ac:dyDescent="0.2">
      <c r="A69" s="12" t="s">
        <v>3</v>
      </c>
      <c r="B69" s="306" t="s">
        <v>79</v>
      </c>
      <c r="C69" s="306"/>
      <c r="D69" s="90">
        <f>D68*0.08</f>
        <v>0.66666666666666674</v>
      </c>
      <c r="E69" s="114"/>
    </row>
    <row r="70" spans="1:6" x14ac:dyDescent="0.2">
      <c r="A70" s="12" t="s">
        <v>4</v>
      </c>
      <c r="B70" s="306" t="s">
        <v>162</v>
      </c>
      <c r="C70" s="306"/>
      <c r="D70" s="90">
        <f>D69*0.4</f>
        <v>0.26666666666666672</v>
      </c>
      <c r="E70" s="116"/>
      <c r="F70" s="54"/>
    </row>
    <row r="71" spans="1:6" x14ac:dyDescent="0.2">
      <c r="A71" s="12" t="s">
        <v>6</v>
      </c>
      <c r="B71" s="306" t="s">
        <v>42</v>
      </c>
      <c r="C71" s="306"/>
      <c r="D71" s="90">
        <f>E32*0.9*7/360</f>
        <v>17.5</v>
      </c>
    </row>
    <row r="72" spans="1:6" x14ac:dyDescent="0.2">
      <c r="A72" s="12" t="s">
        <v>7</v>
      </c>
      <c r="B72" s="306" t="s">
        <v>197</v>
      </c>
      <c r="C72" s="306"/>
      <c r="D72" s="90">
        <f>E32*(D49*((90%*7/(360)*100)/100))</f>
        <v>6.44</v>
      </c>
      <c r="E72" s="114"/>
    </row>
    <row r="73" spans="1:6" x14ac:dyDescent="0.2">
      <c r="A73" s="12" t="s">
        <v>8</v>
      </c>
      <c r="B73" s="306" t="s">
        <v>204</v>
      </c>
      <c r="C73" s="306"/>
      <c r="D73" s="90">
        <f>E48*0.4</f>
        <v>35.555555555555557</v>
      </c>
      <c r="E73" s="114"/>
    </row>
    <row r="74" spans="1:6" ht="13.5" thickBot="1" x14ac:dyDescent="0.25">
      <c r="B74" s="357" t="s">
        <v>143</v>
      </c>
      <c r="C74" s="371"/>
      <c r="D74" s="92">
        <f>SUM(D68:D73)</f>
        <v>68.762222222222221</v>
      </c>
    </row>
    <row r="75" spans="1:6" ht="13.5" thickBot="1" x14ac:dyDescent="0.25">
      <c r="A75" s="354"/>
      <c r="B75" s="354"/>
      <c r="C75" s="354"/>
      <c r="D75" s="354"/>
      <c r="E75" s="354"/>
    </row>
    <row r="76" spans="1:6" ht="15.75" x14ac:dyDescent="0.25">
      <c r="A76" s="320" t="s">
        <v>161</v>
      </c>
      <c r="B76" s="321"/>
      <c r="C76" s="321"/>
      <c r="D76" s="322"/>
      <c r="E76" s="104"/>
    </row>
    <row r="77" spans="1:6" x14ac:dyDescent="0.2">
      <c r="A77" s="12" t="s">
        <v>144</v>
      </c>
      <c r="B77" s="314" t="s">
        <v>125</v>
      </c>
      <c r="C77" s="314"/>
      <c r="D77" s="11" t="s">
        <v>30</v>
      </c>
      <c r="E77" s="104"/>
    </row>
    <row r="78" spans="1:6" x14ac:dyDescent="0.2">
      <c r="A78" s="12" t="s">
        <v>2</v>
      </c>
      <c r="B78" s="323" t="s">
        <v>60</v>
      </c>
      <c r="C78" s="324"/>
      <c r="D78" s="42">
        <f>(((((E32+D64+D74)/Matriz!C12)*Matriz!I12)/12))</f>
        <v>135.47430748232321</v>
      </c>
      <c r="E78" s="99"/>
    </row>
    <row r="79" spans="1:6" x14ac:dyDescent="0.2">
      <c r="A79" s="12" t="s">
        <v>3</v>
      </c>
      <c r="B79" s="323" t="s">
        <v>130</v>
      </c>
      <c r="C79" s="324"/>
      <c r="D79" s="42">
        <f>((((E32+D64+D74)/Matriz!C12))*Matriz!J12)/12</f>
        <v>39.244595959595955</v>
      </c>
      <c r="E79" s="104"/>
    </row>
    <row r="80" spans="1:6" x14ac:dyDescent="0.2">
      <c r="A80" s="12" t="s">
        <v>4</v>
      </c>
      <c r="B80" s="323" t="s">
        <v>154</v>
      </c>
      <c r="C80" s="324"/>
      <c r="D80" s="42">
        <f>((((E32+D64+D74)/Matriz!C12))*Matriz!K12)/12</f>
        <v>3.7910279696969695</v>
      </c>
      <c r="E80" s="104"/>
      <c r="F80" s="75"/>
    </row>
    <row r="81" spans="1:5" x14ac:dyDescent="0.2">
      <c r="A81" s="12" t="s">
        <v>6</v>
      </c>
      <c r="B81" s="324" t="s">
        <v>123</v>
      </c>
      <c r="C81" s="324"/>
      <c r="D81" s="42">
        <f>((((E32+D64+D74)/Matriz!C12))*Matriz!L12)/12</f>
        <v>11.119302188552188</v>
      </c>
      <c r="E81" s="104"/>
    </row>
    <row r="82" spans="1:5" x14ac:dyDescent="0.2">
      <c r="A82" s="12" t="s">
        <v>7</v>
      </c>
      <c r="B82" s="324" t="s">
        <v>39</v>
      </c>
      <c r="C82" s="324"/>
      <c r="D82" s="78">
        <f>((((E32+D64+D74)/Matriz!C12))*Matriz!M12)/12</f>
        <v>3.0774303998316497</v>
      </c>
      <c r="E82" s="104"/>
    </row>
    <row r="83" spans="1:5" ht="13.5" thickBot="1" x14ac:dyDescent="0.25">
      <c r="A83" s="38" t="s">
        <v>8</v>
      </c>
      <c r="B83" s="318" t="s">
        <v>62</v>
      </c>
      <c r="C83" s="318"/>
      <c r="D83" s="177">
        <v>0</v>
      </c>
      <c r="E83" s="104"/>
    </row>
    <row r="84" spans="1:5" ht="13.5" thickBot="1" x14ac:dyDescent="0.25">
      <c r="B84" s="55" t="s">
        <v>145</v>
      </c>
      <c r="C84" s="56"/>
      <c r="D84" s="52">
        <f>SUM(D78:D83)</f>
        <v>192.70666399999999</v>
      </c>
      <c r="E84" s="104"/>
    </row>
    <row r="85" spans="1:5" ht="13.5" thickBot="1" x14ac:dyDescent="0.25">
      <c r="A85" s="103"/>
      <c r="B85" s="103"/>
      <c r="C85" s="103"/>
      <c r="D85" s="74"/>
      <c r="E85" s="103"/>
    </row>
    <row r="86" spans="1:5" ht="15.75" x14ac:dyDescent="0.25">
      <c r="A86" s="320" t="s">
        <v>124</v>
      </c>
      <c r="B86" s="321"/>
      <c r="C86" s="321"/>
      <c r="D86" s="322"/>
      <c r="E86" s="103"/>
    </row>
    <row r="87" spans="1:5" x14ac:dyDescent="0.2">
      <c r="A87" s="12">
        <v>4</v>
      </c>
      <c r="B87" s="350" t="s">
        <v>125</v>
      </c>
      <c r="C87" s="351"/>
      <c r="D87" s="11" t="s">
        <v>30</v>
      </c>
      <c r="E87" s="103"/>
    </row>
    <row r="88" spans="1:5" x14ac:dyDescent="0.2">
      <c r="A88" s="12" t="s">
        <v>144</v>
      </c>
      <c r="B88" s="363" t="s">
        <v>125</v>
      </c>
      <c r="C88" s="364"/>
      <c r="D88" s="42">
        <f>D84</f>
        <v>192.70666399999999</v>
      </c>
      <c r="E88" s="103"/>
    </row>
    <row r="89" spans="1:5" ht="13.5" thickBot="1" x14ac:dyDescent="0.25">
      <c r="A89" s="103"/>
      <c r="B89" s="369" t="s">
        <v>145</v>
      </c>
      <c r="C89" s="370"/>
      <c r="D89" s="52">
        <f>SUM(D88:D88)</f>
        <v>192.70666399999999</v>
      </c>
      <c r="E89" s="103"/>
    </row>
    <row r="90" spans="1:5" ht="13.5" thickBot="1" x14ac:dyDescent="0.25">
      <c r="A90" s="103"/>
      <c r="B90" s="103"/>
      <c r="C90" s="103"/>
      <c r="D90" s="107"/>
      <c r="E90" s="103"/>
    </row>
    <row r="91" spans="1:5" ht="15.75" x14ac:dyDescent="0.25">
      <c r="A91" s="320" t="s">
        <v>171</v>
      </c>
      <c r="B91" s="321"/>
      <c r="C91" s="321"/>
      <c r="D91" s="322"/>
    </row>
    <row r="92" spans="1:5" x14ac:dyDescent="0.2">
      <c r="A92" s="12">
        <v>5</v>
      </c>
      <c r="B92" s="314" t="s">
        <v>18</v>
      </c>
      <c r="C92" s="314"/>
      <c r="D92" s="11" t="s">
        <v>30</v>
      </c>
    </row>
    <row r="93" spans="1:5" x14ac:dyDescent="0.2">
      <c r="A93" s="12" t="s">
        <v>2</v>
      </c>
      <c r="B93" s="323" t="s">
        <v>36</v>
      </c>
      <c r="C93" s="324"/>
      <c r="D93" s="42">
        <f>Uniformes!H35</f>
        <v>0</v>
      </c>
    </row>
    <row r="94" spans="1:5" x14ac:dyDescent="0.2">
      <c r="A94" s="12" t="s">
        <v>3</v>
      </c>
      <c r="B94" s="323" t="s">
        <v>191</v>
      </c>
      <c r="C94" s="324"/>
      <c r="D94" s="77"/>
    </row>
    <row r="95" spans="1:5" x14ac:dyDescent="0.2">
      <c r="A95" s="12" t="s">
        <v>4</v>
      </c>
      <c r="B95" s="324" t="s">
        <v>63</v>
      </c>
      <c r="C95" s="324"/>
      <c r="D95" s="77">
        <f>SUM(((E32+D38)/30)*0.021%)/12</f>
        <v>6.4814814814814824E-4</v>
      </c>
    </row>
    <row r="96" spans="1:5" x14ac:dyDescent="0.2">
      <c r="A96" s="12" t="s">
        <v>6</v>
      </c>
      <c r="B96" s="362" t="s">
        <v>62</v>
      </c>
      <c r="C96" s="362"/>
      <c r="D96" s="168">
        <v>0</v>
      </c>
    </row>
    <row r="97" spans="1:7" ht="13.5" thickBot="1" x14ac:dyDescent="0.25">
      <c r="B97" s="55" t="s">
        <v>59</v>
      </c>
      <c r="C97" s="56"/>
      <c r="D97" s="52">
        <f>SUM(D93:D96)</f>
        <v>6.4814814814814824E-4</v>
      </c>
    </row>
    <row r="98" spans="1:7" ht="13.5" thickBot="1" x14ac:dyDescent="0.25">
      <c r="A98" s="307"/>
      <c r="B98" s="307"/>
      <c r="C98" s="307"/>
      <c r="D98" s="307"/>
      <c r="E98" s="307"/>
    </row>
    <row r="99" spans="1:7" ht="16.5" thickBot="1" x14ac:dyDescent="0.3">
      <c r="A99" s="375" t="s">
        <v>126</v>
      </c>
      <c r="B99" s="376"/>
      <c r="C99" s="376"/>
      <c r="D99" s="376"/>
      <c r="E99" s="377"/>
    </row>
    <row r="100" spans="1:7" x14ac:dyDescent="0.2">
      <c r="A100" s="49">
        <v>6</v>
      </c>
      <c r="B100" s="368" t="s">
        <v>43</v>
      </c>
      <c r="C100" s="368"/>
      <c r="D100" s="106" t="s">
        <v>38</v>
      </c>
      <c r="E100" s="51" t="s">
        <v>30</v>
      </c>
    </row>
    <row r="101" spans="1:7" x14ac:dyDescent="0.2">
      <c r="A101" s="12" t="s">
        <v>2</v>
      </c>
      <c r="B101" s="306" t="s">
        <v>44</v>
      </c>
      <c r="C101" s="306"/>
      <c r="D101" s="59">
        <v>0.05</v>
      </c>
      <c r="E101" s="42">
        <f>D116*D101</f>
        <v>95.973500000000001</v>
      </c>
    </row>
    <row r="102" spans="1:7" x14ac:dyDescent="0.2">
      <c r="A102" s="12" t="s">
        <v>3</v>
      </c>
      <c r="B102" s="308" t="s">
        <v>64</v>
      </c>
      <c r="C102" s="306"/>
      <c r="D102" s="170">
        <v>0.05</v>
      </c>
      <c r="E102" s="19">
        <f>(D116+E101)*D102</f>
        <v>100.772175</v>
      </c>
    </row>
    <row r="103" spans="1:7" x14ac:dyDescent="0.2">
      <c r="A103" s="14" t="s">
        <v>4</v>
      </c>
      <c r="B103" s="308" t="s">
        <v>146</v>
      </c>
      <c r="C103" s="306"/>
      <c r="D103" s="100">
        <f>D104+D105+D106</f>
        <v>0.14250000000000002</v>
      </c>
      <c r="E103" s="19">
        <f>($D$116+$E$101+$E$102)*D103/(1-$D$103)</f>
        <v>351.67432500000007</v>
      </c>
    </row>
    <row r="104" spans="1:7" x14ac:dyDescent="0.2">
      <c r="A104" s="14" t="s">
        <v>149</v>
      </c>
      <c r="B104" s="308" t="s">
        <v>147</v>
      </c>
      <c r="C104" s="306"/>
      <c r="D104" s="60">
        <v>1.6500000000000001E-2</v>
      </c>
      <c r="E104" s="19">
        <f>($D$116+$E$101+$E$102)*D104/(1-$D$103)</f>
        <v>40.720185000000008</v>
      </c>
    </row>
    <row r="105" spans="1:7" x14ac:dyDescent="0.2">
      <c r="A105" s="14" t="s">
        <v>150</v>
      </c>
      <c r="B105" s="308" t="s">
        <v>148</v>
      </c>
      <c r="C105" s="306"/>
      <c r="D105" s="60">
        <v>7.5999999999999998E-2</v>
      </c>
      <c r="E105" s="19">
        <f>($D$116+$E$101+$E$102)*D105/(1-$D$103)</f>
        <v>187.55964</v>
      </c>
      <c r="G105" s="73"/>
    </row>
    <row r="106" spans="1:7" x14ac:dyDescent="0.2">
      <c r="A106" s="14" t="s">
        <v>151</v>
      </c>
      <c r="B106" s="308" t="s">
        <v>203</v>
      </c>
      <c r="C106" s="308"/>
      <c r="D106" s="60">
        <v>0.05</v>
      </c>
      <c r="E106" s="19">
        <f>($D$116+$E$101+$E$102-$E$41-$E$48)*D106/(1-$D$103)</f>
        <v>105.25391043083901</v>
      </c>
    </row>
    <row r="107" spans="1:7" ht="13.5" thickBot="1" x14ac:dyDescent="0.25">
      <c r="B107" s="55" t="s">
        <v>45</v>
      </c>
      <c r="C107" s="56"/>
      <c r="D107" s="57">
        <f>D101+D102+D103</f>
        <v>0.24250000000000002</v>
      </c>
      <c r="E107" s="52">
        <f>E101+E102+E104+E105+E106</f>
        <v>530.27941043083899</v>
      </c>
      <c r="G107" s="45"/>
    </row>
    <row r="108" spans="1:7" ht="13.5" thickBot="1" x14ac:dyDescent="0.25">
      <c r="A108" s="354"/>
      <c r="B108" s="354"/>
      <c r="C108" s="354"/>
      <c r="D108" s="354"/>
      <c r="E108" s="354"/>
      <c r="G108" s="45"/>
    </row>
    <row r="109" spans="1:7" ht="15.75" x14ac:dyDescent="0.25">
      <c r="A109" s="320" t="s">
        <v>47</v>
      </c>
      <c r="B109" s="321"/>
      <c r="C109" s="321"/>
      <c r="D109" s="322"/>
      <c r="G109" s="45"/>
    </row>
    <row r="110" spans="1:7" x14ac:dyDescent="0.2">
      <c r="A110" s="12">
        <v>5</v>
      </c>
      <c r="B110" s="314" t="s">
        <v>46</v>
      </c>
      <c r="C110" s="314"/>
      <c r="D110" s="11" t="s">
        <v>30</v>
      </c>
      <c r="G110" s="45"/>
    </row>
    <row r="111" spans="1:7" x14ac:dyDescent="0.2">
      <c r="A111" s="12" t="s">
        <v>2</v>
      </c>
      <c r="B111" s="306" t="s">
        <v>27</v>
      </c>
      <c r="C111" s="306"/>
      <c r="D111" s="42">
        <f>E32</f>
        <v>1000</v>
      </c>
      <c r="G111" s="45"/>
    </row>
    <row r="112" spans="1:7" x14ac:dyDescent="0.2">
      <c r="A112" s="12" t="s">
        <v>3</v>
      </c>
      <c r="B112" s="308" t="s">
        <v>136</v>
      </c>
      <c r="C112" s="306"/>
      <c r="D112" s="19">
        <f>D64</f>
        <v>658</v>
      </c>
      <c r="G112" s="53"/>
    </row>
    <row r="113" spans="1:7" x14ac:dyDescent="0.2">
      <c r="A113" s="12" t="s">
        <v>4</v>
      </c>
      <c r="B113" s="308" t="s">
        <v>122</v>
      </c>
      <c r="C113" s="306"/>
      <c r="D113" s="19">
        <f>D74</f>
        <v>68.762222222222221</v>
      </c>
      <c r="G113" s="45"/>
    </row>
    <row r="114" spans="1:7" x14ac:dyDescent="0.2">
      <c r="A114" s="14" t="s">
        <v>6</v>
      </c>
      <c r="B114" s="308" t="s">
        <v>137</v>
      </c>
      <c r="C114" s="306"/>
      <c r="D114" s="19">
        <f>D89</f>
        <v>192.70666399999999</v>
      </c>
    </row>
    <row r="115" spans="1:7" x14ac:dyDescent="0.2">
      <c r="A115" s="89" t="s">
        <v>7</v>
      </c>
      <c r="B115" s="308" t="s">
        <v>160</v>
      </c>
      <c r="C115" s="308"/>
      <c r="D115" s="88">
        <f>D97</f>
        <v>6.4814814814814824E-4</v>
      </c>
      <c r="G115" s="53"/>
    </row>
    <row r="116" spans="1:7" x14ac:dyDescent="0.2">
      <c r="A116" s="372" t="s">
        <v>163</v>
      </c>
      <c r="B116" s="373"/>
      <c r="C116" s="374"/>
      <c r="D116" s="58">
        <f>ROUND(SUM(D111:D115),2)</f>
        <v>1919.47</v>
      </c>
    </row>
    <row r="117" spans="1:7" ht="13.5" thickBot="1" x14ac:dyDescent="0.25">
      <c r="A117" s="23" t="s">
        <v>8</v>
      </c>
      <c r="B117" s="319" t="s">
        <v>126</v>
      </c>
      <c r="C117" s="319"/>
      <c r="D117" s="20">
        <f>ROUND(E107,2)</f>
        <v>530.28</v>
      </c>
    </row>
    <row r="118" spans="1:7" ht="13.5" thickBot="1" x14ac:dyDescent="0.25">
      <c r="B118" s="365" t="s">
        <v>49</v>
      </c>
      <c r="C118" s="366"/>
      <c r="D118" s="52">
        <f>ROUND((D116+D117),2)</f>
        <v>2449.75</v>
      </c>
      <c r="E118" s="45"/>
      <c r="G118" s="54"/>
    </row>
    <row r="119" spans="1:7" ht="13.5" thickBot="1" x14ac:dyDescent="0.25">
      <c r="A119" s="354"/>
      <c r="B119" s="354"/>
      <c r="C119" s="354"/>
      <c r="D119" s="354"/>
      <c r="E119" s="354"/>
    </row>
    <row r="120" spans="1:7" ht="15.75" x14ac:dyDescent="0.25">
      <c r="A120" s="320" t="s">
        <v>58</v>
      </c>
      <c r="B120" s="321"/>
      <c r="C120" s="321"/>
      <c r="D120" s="322"/>
    </row>
    <row r="121" spans="1:7" x14ac:dyDescent="0.2">
      <c r="A121" s="12">
        <v>5</v>
      </c>
      <c r="B121" s="314" t="s">
        <v>46</v>
      </c>
      <c r="C121" s="314"/>
      <c r="D121" s="11" t="s">
        <v>30</v>
      </c>
    </row>
    <row r="122" spans="1:7" x14ac:dyDescent="0.2">
      <c r="A122" s="12" t="s">
        <v>2</v>
      </c>
      <c r="B122" s="306" t="s">
        <v>27</v>
      </c>
      <c r="C122" s="306"/>
      <c r="D122" s="42">
        <f>D111*TOTAIS!F27</f>
        <v>1000</v>
      </c>
    </row>
    <row r="123" spans="1:7" x14ac:dyDescent="0.2">
      <c r="A123" s="12" t="s">
        <v>3</v>
      </c>
      <c r="B123" s="306" t="s">
        <v>33</v>
      </c>
      <c r="C123" s="306"/>
      <c r="D123" s="19">
        <f>D112*TOTAIS!F27</f>
        <v>658</v>
      </c>
    </row>
    <row r="124" spans="1:7" x14ac:dyDescent="0.2">
      <c r="A124" s="12" t="s">
        <v>4</v>
      </c>
      <c r="B124" s="306" t="s">
        <v>35</v>
      </c>
      <c r="C124" s="306"/>
      <c r="D124" s="19">
        <f>D113*TOTAIS!F27</f>
        <v>68.762222222222221</v>
      </c>
    </row>
    <row r="125" spans="1:7" x14ac:dyDescent="0.2">
      <c r="A125" s="14" t="s">
        <v>6</v>
      </c>
      <c r="B125" s="306" t="s">
        <v>48</v>
      </c>
      <c r="C125" s="306"/>
      <c r="D125" s="19">
        <f>D114*TOTAIS!F27</f>
        <v>192.70666399999999</v>
      </c>
    </row>
    <row r="126" spans="1:7" x14ac:dyDescent="0.2">
      <c r="A126" s="89" t="s">
        <v>7</v>
      </c>
      <c r="B126" s="308" t="s">
        <v>160</v>
      </c>
      <c r="C126" s="308"/>
      <c r="D126" s="19">
        <f>D115*TOTAIS!F27</f>
        <v>6.4814814814814824E-4</v>
      </c>
    </row>
    <row r="127" spans="1:7" x14ac:dyDescent="0.2">
      <c r="A127" s="372" t="s">
        <v>57</v>
      </c>
      <c r="B127" s="373"/>
      <c r="C127" s="374"/>
      <c r="D127" s="58">
        <f>SUM(D122:D126)</f>
        <v>1919.4695343703704</v>
      </c>
    </row>
    <row r="128" spans="1:7" ht="13.5" thickBot="1" x14ac:dyDescent="0.25">
      <c r="A128" s="23" t="s">
        <v>8</v>
      </c>
      <c r="B128" s="319" t="s">
        <v>126</v>
      </c>
      <c r="C128" s="319"/>
      <c r="D128" s="20">
        <f>D117*TOTAIS!F27</f>
        <v>530.28</v>
      </c>
    </row>
    <row r="129" spans="2:4" ht="13.5" thickBot="1" x14ac:dyDescent="0.25">
      <c r="B129" s="365" t="s">
        <v>55</v>
      </c>
      <c r="C129" s="366"/>
      <c r="D129" s="52">
        <f>D127+D128</f>
        <v>2449.7495343703704</v>
      </c>
    </row>
  </sheetData>
  <mergeCells count="121">
    <mergeCell ref="A7:C7"/>
    <mergeCell ref="A8:C8"/>
    <mergeCell ref="A9:E9"/>
    <mergeCell ref="A10:D10"/>
    <mergeCell ref="B11:C11"/>
    <mergeCell ref="B12:C12"/>
    <mergeCell ref="A1:E1"/>
    <mergeCell ref="A2:E2"/>
    <mergeCell ref="A3:E3"/>
    <mergeCell ref="A4:D4"/>
    <mergeCell ref="A5:C5"/>
    <mergeCell ref="A6:C6"/>
    <mergeCell ref="B19:C19"/>
    <mergeCell ref="B20:C20"/>
    <mergeCell ref="A21:E21"/>
    <mergeCell ref="A22:E22"/>
    <mergeCell ref="B23:C23"/>
    <mergeCell ref="B24:C24"/>
    <mergeCell ref="B13:C13"/>
    <mergeCell ref="B14:C14"/>
    <mergeCell ref="A15:E15"/>
    <mergeCell ref="A16:D16"/>
    <mergeCell ref="B17:C17"/>
    <mergeCell ref="B18:C18"/>
    <mergeCell ref="B31:C31"/>
    <mergeCell ref="B32:D32"/>
    <mergeCell ref="A33:E33"/>
    <mergeCell ref="A34:D34"/>
    <mergeCell ref="B35:C35"/>
    <mergeCell ref="B36:C36"/>
    <mergeCell ref="B25:C25"/>
    <mergeCell ref="B26:C26"/>
    <mergeCell ref="B27:C27"/>
    <mergeCell ref="B28:C28"/>
    <mergeCell ref="B30:C30"/>
    <mergeCell ref="B29:C29"/>
    <mergeCell ref="B43:C43"/>
    <mergeCell ref="B44:C44"/>
    <mergeCell ref="B45:C45"/>
    <mergeCell ref="B46:C46"/>
    <mergeCell ref="B47:C47"/>
    <mergeCell ref="B48:C48"/>
    <mergeCell ref="B37:C37"/>
    <mergeCell ref="B38:C38"/>
    <mergeCell ref="A39:E39"/>
    <mergeCell ref="B40:C40"/>
    <mergeCell ref="B41:C41"/>
    <mergeCell ref="B42:C42"/>
    <mergeCell ref="B56:C56"/>
    <mergeCell ref="B57:C57"/>
    <mergeCell ref="B61:C61"/>
    <mergeCell ref="B62:C62"/>
    <mergeCell ref="B49:C49"/>
    <mergeCell ref="B51:C51"/>
    <mergeCell ref="B52:C52"/>
    <mergeCell ref="B53:C53"/>
    <mergeCell ref="B54:C54"/>
    <mergeCell ref="B55:C55"/>
    <mergeCell ref="A59:D59"/>
    <mergeCell ref="B60:C60"/>
    <mergeCell ref="B70:C70"/>
    <mergeCell ref="B71:C71"/>
    <mergeCell ref="B72:C72"/>
    <mergeCell ref="B74:C74"/>
    <mergeCell ref="B63:C63"/>
    <mergeCell ref="B64:C64"/>
    <mergeCell ref="B68:C68"/>
    <mergeCell ref="B69:C69"/>
    <mergeCell ref="A66:D66"/>
    <mergeCell ref="B67:C67"/>
    <mergeCell ref="B73:C73"/>
    <mergeCell ref="A75:E75"/>
    <mergeCell ref="B82:C82"/>
    <mergeCell ref="B83:C83"/>
    <mergeCell ref="B88:C88"/>
    <mergeCell ref="B89:C89"/>
    <mergeCell ref="B78:C78"/>
    <mergeCell ref="B79:C79"/>
    <mergeCell ref="B80:C80"/>
    <mergeCell ref="B81:C81"/>
    <mergeCell ref="A76:D76"/>
    <mergeCell ref="B77:C77"/>
    <mergeCell ref="A86:D86"/>
    <mergeCell ref="B87:C87"/>
    <mergeCell ref="A99:E99"/>
    <mergeCell ref="B101:C101"/>
    <mergeCell ref="B102:C102"/>
    <mergeCell ref="B103:C103"/>
    <mergeCell ref="B93:C93"/>
    <mergeCell ref="B94:C94"/>
    <mergeCell ref="B95:C95"/>
    <mergeCell ref="B96:C96"/>
    <mergeCell ref="A91:D91"/>
    <mergeCell ref="B92:C92"/>
    <mergeCell ref="A98:E98"/>
    <mergeCell ref="B100:C10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A108:E108"/>
    <mergeCell ref="A109:D109"/>
    <mergeCell ref="B110:C110"/>
    <mergeCell ref="A116:C116"/>
    <mergeCell ref="B129:C129"/>
    <mergeCell ref="B123:C123"/>
    <mergeCell ref="B124:C124"/>
    <mergeCell ref="B125:C125"/>
    <mergeCell ref="B126:C126"/>
    <mergeCell ref="B118:C118"/>
    <mergeCell ref="B122:C122"/>
    <mergeCell ref="B117:C117"/>
    <mergeCell ref="A119:E119"/>
    <mergeCell ref="A120:D120"/>
    <mergeCell ref="B121:C121"/>
    <mergeCell ref="A127:C127"/>
    <mergeCell ref="B128:C128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TOTAIS</vt:lpstr>
      <vt:lpstr>Matriz</vt:lpstr>
      <vt:lpstr>CCT</vt:lpstr>
      <vt:lpstr>Técnico(a) em Secretariado 44h</vt:lpstr>
      <vt:lpstr>Auxiliar de Arquivo 44h</vt:lpstr>
      <vt:lpstr>Auxiliar de Arquivo 12x36 Diurn</vt:lpstr>
      <vt:lpstr>Auxiliar de Arquivo 12x36 Notur</vt:lpstr>
      <vt:lpstr>Carregador 44h</vt:lpstr>
      <vt:lpstr>Encarregado 44h</vt:lpstr>
      <vt:lpstr>Uniformes</vt:lpstr>
      <vt:lpstr>EPI's</vt:lpstr>
    </vt:vector>
  </TitlesOfParts>
  <Company>Hospital de Clinicas-UFPR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Assessoria de Informatica</dc:creator>
  <cp:lastModifiedBy>Priscila Blum Magalhaes</cp:lastModifiedBy>
  <cp:lastPrinted>2020-02-18T16:38:23Z</cp:lastPrinted>
  <dcterms:created xsi:type="dcterms:W3CDTF">2011-06-07T10:55:30Z</dcterms:created>
  <dcterms:modified xsi:type="dcterms:W3CDTF">2020-02-19T20:49:26Z</dcterms:modified>
</cp:coreProperties>
</file>