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/>
  <bookViews>
    <workbookView xWindow="0" yWindow="0" windowWidth="17910" windowHeight="8325" tabRatio="919"/>
  </bookViews>
  <sheets>
    <sheet name="Indicadores Hospitalares" sheetId="25" r:id="rId1"/>
    <sheet name="Atendimentos" sheetId="1" r:id="rId2"/>
    <sheet name="Ambulatório e Emergência" sheetId="22" r:id="rId3"/>
    <sheet name="Manchester" sheetId="26" r:id="rId4"/>
    <sheet name="Cirurgias" sheetId="5" r:id="rId5"/>
    <sheet name="Exames" sheetId="6" r:id="rId6"/>
    <sheet name="Psicossocial" sheetId="17" r:id="rId7"/>
    <sheet name="Reabilitação" sheetId="23" r:id="rId8"/>
    <sheet name="Nutrição" sheetId="27" r:id="rId9"/>
    <sheet name="Regulação" sheetId="18" r:id="rId10"/>
    <sheet name="AIH" sheetId="16" r:id="rId11"/>
    <sheet name="BPA" sheetId="28" r:id="rId12"/>
    <sheet name="Atendimentos (Localidade)" sheetId="14" r:id="rId13"/>
    <sheet name="ATT" sheetId="20" r:id="rId14"/>
    <sheet name="ATT (MOTO)" sheetId="21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25" l="1"/>
  <c r="M77" i="25"/>
  <c r="D34" i="21" l="1"/>
  <c r="K35" i="20" l="1"/>
  <c r="N7" i="1" l="1"/>
  <c r="L79" i="25" l="1"/>
  <c r="L77" i="25"/>
  <c r="K79" i="25"/>
  <c r="K77" i="25"/>
  <c r="I80" i="25" l="1"/>
  <c r="I76" i="25" s="1"/>
  <c r="H80" i="25" l="1"/>
  <c r="H76" i="25" s="1"/>
  <c r="M122" i="25" l="1"/>
  <c r="M158" i="25" s="1"/>
  <c r="L122" i="25"/>
  <c r="L158" i="25" s="1"/>
  <c r="K122" i="25"/>
  <c r="K158" i="25" s="1"/>
  <c r="J122" i="25"/>
  <c r="J158" i="25" s="1"/>
  <c r="I122" i="25"/>
  <c r="I158" i="25" s="1"/>
  <c r="H122" i="25"/>
  <c r="H158" i="25" s="1"/>
  <c r="G122" i="25"/>
  <c r="G158" i="25" s="1"/>
  <c r="F122" i="25"/>
  <c r="F158" i="25" s="1"/>
  <c r="E122" i="25"/>
  <c r="E158" i="25" s="1"/>
  <c r="D122" i="25"/>
  <c r="D158" i="25" s="1"/>
  <c r="C122" i="25"/>
  <c r="C158" i="25" s="1"/>
  <c r="M121" i="25"/>
  <c r="M157" i="25" s="1"/>
  <c r="L121" i="25"/>
  <c r="L157" i="25" s="1"/>
  <c r="K121" i="25"/>
  <c r="K157" i="25" s="1"/>
  <c r="J121" i="25"/>
  <c r="J157" i="25" s="1"/>
  <c r="I121" i="25"/>
  <c r="I157" i="25" s="1"/>
  <c r="H121" i="25"/>
  <c r="H157" i="25" s="1"/>
  <c r="G121" i="25"/>
  <c r="G157" i="25" s="1"/>
  <c r="F121" i="25"/>
  <c r="F157" i="25" s="1"/>
  <c r="E121" i="25"/>
  <c r="E157" i="25" s="1"/>
  <c r="D121" i="25"/>
  <c r="D157" i="25" s="1"/>
  <c r="C121" i="25"/>
  <c r="C157" i="25" s="1"/>
  <c r="M120" i="25"/>
  <c r="M156" i="25" s="1"/>
  <c r="L120" i="25"/>
  <c r="L156" i="25" s="1"/>
  <c r="K120" i="25"/>
  <c r="K156" i="25" s="1"/>
  <c r="J120" i="25"/>
  <c r="J156" i="25" s="1"/>
  <c r="I120" i="25"/>
  <c r="I156" i="25" s="1"/>
  <c r="H120" i="25"/>
  <c r="H156" i="25" s="1"/>
  <c r="G120" i="25"/>
  <c r="G156" i="25" s="1"/>
  <c r="F120" i="25"/>
  <c r="F156" i="25" s="1"/>
  <c r="E120" i="25"/>
  <c r="E156" i="25" s="1"/>
  <c r="D120" i="25"/>
  <c r="D156" i="25" s="1"/>
  <c r="C120" i="25"/>
  <c r="C156" i="25" s="1"/>
  <c r="M119" i="25"/>
  <c r="M155" i="25" s="1"/>
  <c r="L119" i="25"/>
  <c r="L155" i="25" s="1"/>
  <c r="K119" i="25"/>
  <c r="K155" i="25" s="1"/>
  <c r="J119" i="25"/>
  <c r="J155" i="25" s="1"/>
  <c r="I119" i="25"/>
  <c r="I155" i="25" s="1"/>
  <c r="H119" i="25"/>
  <c r="H155" i="25" s="1"/>
  <c r="G119" i="25"/>
  <c r="G155" i="25" s="1"/>
  <c r="F119" i="25"/>
  <c r="F155" i="25" s="1"/>
  <c r="E119" i="25"/>
  <c r="E155" i="25" s="1"/>
  <c r="D119" i="25"/>
  <c r="D155" i="25" s="1"/>
  <c r="C119" i="25"/>
  <c r="C155" i="25" s="1"/>
  <c r="M118" i="25"/>
  <c r="M154" i="25" s="1"/>
  <c r="L118" i="25"/>
  <c r="L154" i="25" s="1"/>
  <c r="K118" i="25"/>
  <c r="K154" i="25" s="1"/>
  <c r="J118" i="25"/>
  <c r="J154" i="25" s="1"/>
  <c r="I118" i="25"/>
  <c r="I154" i="25" s="1"/>
  <c r="H118" i="25"/>
  <c r="H154" i="25" s="1"/>
  <c r="G118" i="25"/>
  <c r="G154" i="25" s="1"/>
  <c r="F118" i="25"/>
  <c r="F154" i="25" s="1"/>
  <c r="E118" i="25"/>
  <c r="E154" i="25" s="1"/>
  <c r="D118" i="25"/>
  <c r="D154" i="25" s="1"/>
  <c r="C118" i="25"/>
  <c r="C154" i="25" s="1"/>
  <c r="M117" i="25"/>
  <c r="L117" i="25"/>
  <c r="K117" i="25"/>
  <c r="J117" i="25"/>
  <c r="I117" i="25"/>
  <c r="H117" i="25"/>
  <c r="M116" i="25"/>
  <c r="L116" i="25"/>
  <c r="K116" i="25"/>
  <c r="J116" i="25"/>
  <c r="I116" i="25"/>
  <c r="H116" i="25"/>
  <c r="G116" i="25"/>
  <c r="F116" i="25"/>
  <c r="E116" i="25"/>
  <c r="D116" i="25"/>
  <c r="C116" i="25"/>
  <c r="M115" i="25"/>
  <c r="L115" i="25"/>
  <c r="K115" i="25"/>
  <c r="J115" i="25"/>
  <c r="I115" i="25"/>
  <c r="H115" i="25"/>
  <c r="G115" i="25"/>
  <c r="F115" i="25"/>
  <c r="E115" i="25"/>
  <c r="D115" i="25"/>
  <c r="C115" i="25"/>
  <c r="M114" i="25"/>
  <c r="L114" i="25"/>
  <c r="K114" i="25"/>
  <c r="J114" i="25"/>
  <c r="I114" i="25"/>
  <c r="H114" i="25"/>
  <c r="G114" i="25"/>
  <c r="F114" i="25"/>
  <c r="E114" i="25"/>
  <c r="D114" i="25"/>
  <c r="C114" i="25"/>
  <c r="M113" i="25"/>
  <c r="L113" i="25"/>
  <c r="K113" i="25"/>
  <c r="J113" i="25"/>
  <c r="I113" i="25"/>
  <c r="H113" i="25"/>
  <c r="B114" i="25"/>
  <c r="B115" i="25"/>
  <c r="B116" i="25"/>
  <c r="B118" i="25"/>
  <c r="B154" i="25" s="1"/>
  <c r="B119" i="25"/>
  <c r="B155" i="25" s="1"/>
  <c r="B120" i="25"/>
  <c r="B156" i="25" s="1"/>
  <c r="B121" i="25"/>
  <c r="B157" i="25" s="1"/>
  <c r="B122" i="25"/>
  <c r="B158" i="25" s="1"/>
  <c r="C80" i="25"/>
  <c r="C117" i="25" s="1"/>
  <c r="D80" i="25"/>
  <c r="D117" i="25" s="1"/>
  <c r="E80" i="25"/>
  <c r="E117" i="25" s="1"/>
  <c r="F80" i="25"/>
  <c r="F76" i="25" s="1"/>
  <c r="F113" i="25" s="1"/>
  <c r="G80" i="25"/>
  <c r="G76" i="25" s="1"/>
  <c r="G113" i="25" s="1"/>
  <c r="B80" i="25"/>
  <c r="B117" i="25" s="1"/>
  <c r="N85" i="25"/>
  <c r="N122" i="25" s="1"/>
  <c r="N158" i="25" s="1"/>
  <c r="N84" i="25"/>
  <c r="N121" i="25" s="1"/>
  <c r="N157" i="25" s="1"/>
  <c r="N83" i="25"/>
  <c r="N120" i="25" s="1"/>
  <c r="N156" i="25" s="1"/>
  <c r="N82" i="25"/>
  <c r="N119" i="25" s="1"/>
  <c r="N155" i="25" s="1"/>
  <c r="N81" i="25"/>
  <c r="N118" i="25" s="1"/>
  <c r="N154" i="25" s="1"/>
  <c r="N79" i="25"/>
  <c r="N78" i="25"/>
  <c r="N77" i="25"/>
  <c r="D76" i="25" l="1"/>
  <c r="D113" i="25" s="1"/>
  <c r="F117" i="25"/>
  <c r="B76" i="25"/>
  <c r="B113" i="25" s="1"/>
  <c r="E76" i="25"/>
  <c r="E113" i="25" s="1"/>
  <c r="G117" i="25"/>
  <c r="C76" i="25"/>
  <c r="N80" i="25"/>
  <c r="N80" i="28"/>
  <c r="K81" i="28"/>
  <c r="G81" i="28"/>
  <c r="C81" i="28"/>
  <c r="N79" i="28"/>
  <c r="M81" i="28"/>
  <c r="L81" i="28"/>
  <c r="J81" i="28"/>
  <c r="I81" i="28"/>
  <c r="H81" i="28"/>
  <c r="F81" i="28"/>
  <c r="E81" i="28"/>
  <c r="D81" i="28"/>
  <c r="B81" i="28"/>
  <c r="N74" i="28"/>
  <c r="N73" i="28"/>
  <c r="N72" i="28"/>
  <c r="M75" i="28"/>
  <c r="L75" i="28"/>
  <c r="K75" i="28"/>
  <c r="J75" i="28"/>
  <c r="I75" i="28"/>
  <c r="H75" i="28"/>
  <c r="G75" i="28"/>
  <c r="F75" i="28"/>
  <c r="E75" i="28"/>
  <c r="D75" i="28"/>
  <c r="C75" i="28"/>
  <c r="B75" i="28"/>
  <c r="N67" i="28"/>
  <c r="N66" i="28"/>
  <c r="N65" i="28"/>
  <c r="N64" i="28"/>
  <c r="N63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M59" i="28"/>
  <c r="L59" i="28"/>
  <c r="I59" i="28"/>
  <c r="H59" i="28"/>
  <c r="E59" i="28"/>
  <c r="D59" i="28"/>
  <c r="K59" i="28"/>
  <c r="J59" i="28"/>
  <c r="G59" i="28"/>
  <c r="F59" i="28"/>
  <c r="C59" i="28"/>
  <c r="B59" i="28"/>
  <c r="N53" i="28"/>
  <c r="L54" i="28"/>
  <c r="K54" i="28"/>
  <c r="G54" i="28"/>
  <c r="C54" i="28"/>
  <c r="N52" i="28"/>
  <c r="M54" i="28"/>
  <c r="J54" i="28"/>
  <c r="I54" i="28"/>
  <c r="H54" i="28"/>
  <c r="F54" i="28"/>
  <c r="E54" i="28"/>
  <c r="D54" i="28"/>
  <c r="B54" i="28"/>
  <c r="N47" i="28"/>
  <c r="N46" i="28"/>
  <c r="N45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N40" i="28"/>
  <c r="N39" i="28"/>
  <c r="N38" i="28"/>
  <c r="N37" i="28"/>
  <c r="N36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M32" i="28"/>
  <c r="L32" i="28"/>
  <c r="I32" i="28"/>
  <c r="H32" i="28"/>
  <c r="D32" i="28"/>
  <c r="K32" i="28"/>
  <c r="J32" i="28"/>
  <c r="G32" i="28"/>
  <c r="F32" i="28"/>
  <c r="E32" i="28"/>
  <c r="C32" i="28"/>
  <c r="B32" i="28"/>
  <c r="N26" i="28"/>
  <c r="N25" i="28"/>
  <c r="N2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N19" i="28"/>
  <c r="N18" i="28"/>
  <c r="N17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N12" i="28"/>
  <c r="L13" i="28"/>
  <c r="H13" i="28"/>
  <c r="D13" i="28"/>
  <c r="N11" i="28"/>
  <c r="M13" i="28"/>
  <c r="K13" i="28"/>
  <c r="J13" i="28"/>
  <c r="I13" i="28"/>
  <c r="G13" i="28"/>
  <c r="F13" i="28"/>
  <c r="E13" i="28"/>
  <c r="C13" i="28"/>
  <c r="B13" i="28"/>
  <c r="N6" i="28"/>
  <c r="K7" i="28"/>
  <c r="G7" i="28"/>
  <c r="C7" i="28"/>
  <c r="N5" i="28"/>
  <c r="M7" i="28"/>
  <c r="L7" i="28"/>
  <c r="J7" i="28"/>
  <c r="I7" i="28"/>
  <c r="H7" i="28"/>
  <c r="F7" i="28"/>
  <c r="E7" i="28"/>
  <c r="D7" i="28"/>
  <c r="B7" i="28"/>
  <c r="C113" i="25" l="1"/>
  <c r="N76" i="25"/>
  <c r="N10" i="28"/>
  <c r="N31" i="28"/>
  <c r="N44" i="28"/>
  <c r="N58" i="28"/>
  <c r="N71" i="28"/>
  <c r="N51" i="28"/>
  <c r="N78" i="28"/>
  <c r="N4" i="28"/>
  <c r="N16" i="28"/>
  <c r="N23" i="28"/>
  <c r="N35" i="28"/>
  <c r="N62" i="28"/>
  <c r="N68" i="28" l="1"/>
  <c r="O62" i="28" s="1"/>
  <c r="N7" i="28"/>
  <c r="O4" i="28" s="1"/>
  <c r="N75" i="28"/>
  <c r="N13" i="28"/>
  <c r="O10" i="28" s="1"/>
  <c r="N20" i="28"/>
  <c r="N32" i="28"/>
  <c r="O31" i="28" s="1"/>
  <c r="N41" i="28"/>
  <c r="O35" i="28" s="1"/>
  <c r="N81" i="28"/>
  <c r="N59" i="28"/>
  <c r="O58" i="28" s="1"/>
  <c r="N27" i="28"/>
  <c r="N54" i="28"/>
  <c r="O51" i="28" s="1"/>
  <c r="N48" i="28"/>
  <c r="O44" i="28" s="1"/>
  <c r="O24" i="28" l="1"/>
  <c r="O25" i="28"/>
  <c r="O26" i="28"/>
  <c r="O17" i="28"/>
  <c r="O18" i="28"/>
  <c r="O19" i="28"/>
  <c r="O12" i="28"/>
  <c r="O11" i="28"/>
  <c r="O5" i="28"/>
  <c r="O6" i="28"/>
  <c r="O53" i="28"/>
  <c r="O52" i="28"/>
  <c r="O37" i="28"/>
  <c r="O38" i="28"/>
  <c r="O39" i="28"/>
  <c r="O36" i="28"/>
  <c r="O40" i="28"/>
  <c r="O16" i="28"/>
  <c r="O72" i="28"/>
  <c r="O73" i="28"/>
  <c r="O74" i="28"/>
  <c r="O80" i="28"/>
  <c r="O79" i="28"/>
  <c r="O45" i="28"/>
  <c r="O46" i="28"/>
  <c r="O47" i="28"/>
  <c r="O23" i="28"/>
  <c r="O78" i="28"/>
  <c r="O71" i="28"/>
  <c r="O64" i="28"/>
  <c r="O67" i="28"/>
  <c r="O66" i="28"/>
  <c r="O65" i="28"/>
  <c r="O63" i="28"/>
  <c r="B78" i="20" l="1"/>
  <c r="B35" i="20"/>
  <c r="N10" i="6" l="1"/>
  <c r="N112" i="16" l="1"/>
  <c r="G112" i="16"/>
  <c r="F112" i="16"/>
  <c r="E112" i="16"/>
  <c r="D112" i="16"/>
  <c r="N111" i="16"/>
  <c r="G111" i="16"/>
  <c r="F111" i="16"/>
  <c r="E111" i="16"/>
  <c r="D111" i="16"/>
  <c r="N110" i="16"/>
  <c r="G110" i="16"/>
  <c r="F110" i="16"/>
  <c r="E110" i="16"/>
  <c r="D110" i="16"/>
  <c r="N109" i="16"/>
  <c r="G109" i="16"/>
  <c r="F109" i="16"/>
  <c r="E109" i="16"/>
  <c r="D109" i="16"/>
  <c r="N108" i="16"/>
  <c r="G108" i="16"/>
  <c r="F108" i="16"/>
  <c r="E108" i="16"/>
  <c r="D108" i="16"/>
  <c r="C109" i="16"/>
  <c r="C110" i="16"/>
  <c r="C111" i="16"/>
  <c r="C112" i="16"/>
  <c r="C108" i="16"/>
  <c r="N36" i="16"/>
  <c r="M36" i="16"/>
  <c r="L36" i="16"/>
  <c r="K36" i="16"/>
  <c r="J36" i="16"/>
  <c r="I36" i="16"/>
  <c r="H36" i="16"/>
  <c r="G36" i="16"/>
  <c r="F36" i="16"/>
  <c r="E36" i="16"/>
  <c r="D36" i="16"/>
  <c r="N35" i="16"/>
  <c r="M35" i="16"/>
  <c r="L35" i="16"/>
  <c r="K35" i="16"/>
  <c r="J35" i="16"/>
  <c r="I35" i="16"/>
  <c r="H35" i="16"/>
  <c r="G35" i="16"/>
  <c r="F35" i="16"/>
  <c r="E35" i="16"/>
  <c r="D35" i="16"/>
  <c r="C36" i="16"/>
  <c r="C35" i="16"/>
  <c r="O136" i="16" l="1"/>
  <c r="L137" i="16"/>
  <c r="H137" i="16"/>
  <c r="D137" i="16"/>
  <c r="O135" i="16"/>
  <c r="O134" i="16"/>
  <c r="O133" i="16"/>
  <c r="N137" i="16"/>
  <c r="M137" i="16"/>
  <c r="K137" i="16"/>
  <c r="J137" i="16"/>
  <c r="I137" i="16"/>
  <c r="G137" i="16"/>
  <c r="F137" i="16"/>
  <c r="E137" i="16"/>
  <c r="C137" i="16"/>
  <c r="O128" i="16"/>
  <c r="K129" i="16"/>
  <c r="G129" i="16"/>
  <c r="C129" i="16"/>
  <c r="O126" i="16"/>
  <c r="O125" i="16"/>
  <c r="N129" i="16"/>
  <c r="M129" i="16"/>
  <c r="L129" i="16"/>
  <c r="J129" i="16"/>
  <c r="I129" i="16"/>
  <c r="H129" i="16"/>
  <c r="F129" i="16"/>
  <c r="E129" i="16"/>
  <c r="D129" i="16"/>
  <c r="O124" i="16"/>
  <c r="D113" i="16"/>
  <c r="N113" i="16"/>
  <c r="G113" i="16"/>
  <c r="F113" i="16"/>
  <c r="E113" i="16"/>
  <c r="C113" i="16"/>
  <c r="O104" i="16"/>
  <c r="K105" i="16"/>
  <c r="G105" i="16"/>
  <c r="C105" i="16"/>
  <c r="O102" i="16"/>
  <c r="O101" i="16"/>
  <c r="N105" i="16"/>
  <c r="M105" i="16"/>
  <c r="L105" i="16"/>
  <c r="J105" i="16"/>
  <c r="I105" i="16"/>
  <c r="H105" i="16"/>
  <c r="F105" i="16"/>
  <c r="E105" i="16"/>
  <c r="D105" i="16"/>
  <c r="O100" i="16"/>
  <c r="O96" i="16"/>
  <c r="N97" i="16"/>
  <c r="J97" i="16"/>
  <c r="F97" i="16"/>
  <c r="O95" i="16"/>
  <c r="O94" i="16"/>
  <c r="O93" i="16"/>
  <c r="M97" i="16"/>
  <c r="L97" i="16"/>
  <c r="K97" i="16"/>
  <c r="I97" i="16"/>
  <c r="H97" i="16"/>
  <c r="G97" i="16"/>
  <c r="E97" i="16"/>
  <c r="D97" i="16"/>
  <c r="C97" i="16"/>
  <c r="O88" i="16"/>
  <c r="M89" i="16"/>
  <c r="I89" i="16"/>
  <c r="E89" i="16"/>
  <c r="O87" i="16"/>
  <c r="O86" i="16"/>
  <c r="K89" i="16"/>
  <c r="G89" i="16"/>
  <c r="C89" i="16"/>
  <c r="N89" i="16"/>
  <c r="L89" i="16"/>
  <c r="J89" i="16"/>
  <c r="H89" i="16"/>
  <c r="F89" i="16"/>
  <c r="D89" i="16"/>
  <c r="O84" i="16"/>
  <c r="L73" i="16"/>
  <c r="H73" i="16"/>
  <c r="D73" i="16"/>
  <c r="O71" i="16"/>
  <c r="O70" i="16"/>
  <c r="N73" i="16"/>
  <c r="J73" i="16"/>
  <c r="F73" i="16"/>
  <c r="M73" i="16"/>
  <c r="K73" i="16"/>
  <c r="I73" i="16"/>
  <c r="G73" i="16"/>
  <c r="E73" i="16"/>
  <c r="C73" i="16"/>
  <c r="G65" i="16"/>
  <c r="K65" i="16"/>
  <c r="C65" i="16"/>
  <c r="M65" i="16"/>
  <c r="I65" i="16"/>
  <c r="E65" i="16"/>
  <c r="L65" i="16"/>
  <c r="H65" i="16"/>
  <c r="D65" i="16"/>
  <c r="O60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M52" i="16"/>
  <c r="E52" i="16"/>
  <c r="O51" i="16"/>
  <c r="N52" i="16"/>
  <c r="L52" i="16"/>
  <c r="K52" i="16"/>
  <c r="J52" i="16"/>
  <c r="I52" i="16"/>
  <c r="H52" i="16"/>
  <c r="G52" i="16"/>
  <c r="F52" i="16"/>
  <c r="D52" i="16"/>
  <c r="C52" i="16"/>
  <c r="L47" i="16"/>
  <c r="H47" i="16"/>
  <c r="D47" i="16"/>
  <c r="N47" i="16"/>
  <c r="M47" i="16"/>
  <c r="K47" i="16"/>
  <c r="J47" i="16"/>
  <c r="I47" i="16"/>
  <c r="G47" i="16"/>
  <c r="F47" i="16"/>
  <c r="E47" i="16"/>
  <c r="C47" i="16"/>
  <c r="L37" i="16"/>
  <c r="H37" i="16"/>
  <c r="D37" i="16"/>
  <c r="N37" i="16"/>
  <c r="M37" i="16"/>
  <c r="K37" i="16"/>
  <c r="J37" i="16"/>
  <c r="I37" i="16"/>
  <c r="G37" i="16"/>
  <c r="F37" i="16"/>
  <c r="E37" i="16"/>
  <c r="C37" i="16"/>
  <c r="M32" i="16"/>
  <c r="I32" i="16"/>
  <c r="E32" i="16"/>
  <c r="O31" i="16"/>
  <c r="N32" i="16"/>
  <c r="L32" i="16"/>
  <c r="K32" i="16"/>
  <c r="J32" i="16"/>
  <c r="H32" i="16"/>
  <c r="G32" i="16"/>
  <c r="F32" i="16"/>
  <c r="D32" i="16"/>
  <c r="C32" i="16"/>
  <c r="H27" i="16"/>
  <c r="N27" i="16"/>
  <c r="M27" i="16"/>
  <c r="L27" i="16"/>
  <c r="K27" i="16"/>
  <c r="J27" i="16"/>
  <c r="I27" i="16"/>
  <c r="G27" i="16"/>
  <c r="F27" i="16"/>
  <c r="E27" i="16"/>
  <c r="D27" i="16"/>
  <c r="C27" i="16"/>
  <c r="I22" i="16"/>
  <c r="O21" i="16"/>
  <c r="N22" i="16"/>
  <c r="M22" i="16"/>
  <c r="L22" i="16"/>
  <c r="K22" i="16"/>
  <c r="J22" i="16"/>
  <c r="H22" i="16"/>
  <c r="G22" i="16"/>
  <c r="F22" i="16"/>
  <c r="E22" i="16"/>
  <c r="D22" i="16"/>
  <c r="O20" i="16"/>
  <c r="G12" i="16"/>
  <c r="K12" i="16"/>
  <c r="C12" i="16"/>
  <c r="N12" i="16"/>
  <c r="M12" i="16"/>
  <c r="L12" i="16"/>
  <c r="J12" i="16"/>
  <c r="I12" i="16"/>
  <c r="H12" i="16"/>
  <c r="F12" i="16"/>
  <c r="E12" i="16"/>
  <c r="D12" i="16"/>
  <c r="O10" i="16"/>
  <c r="F7" i="16"/>
  <c r="O6" i="16"/>
  <c r="N7" i="16"/>
  <c r="M7" i="16"/>
  <c r="L7" i="16"/>
  <c r="J7" i="16"/>
  <c r="I7" i="16"/>
  <c r="H7" i="16"/>
  <c r="E7" i="16"/>
  <c r="D7" i="16"/>
  <c r="M112" i="16" l="1"/>
  <c r="M110" i="16"/>
  <c r="M108" i="16"/>
  <c r="M111" i="16"/>
  <c r="M109" i="16"/>
  <c r="L110" i="16"/>
  <c r="L111" i="16"/>
  <c r="L112" i="16"/>
  <c r="L108" i="16"/>
  <c r="L113" i="16" s="1"/>
  <c r="L109" i="16"/>
  <c r="K112" i="16"/>
  <c r="K110" i="16"/>
  <c r="K108" i="16"/>
  <c r="K113" i="16" s="1"/>
  <c r="K111" i="16"/>
  <c r="K109" i="16"/>
  <c r="J112" i="16"/>
  <c r="J108" i="16"/>
  <c r="J111" i="16"/>
  <c r="J110" i="16"/>
  <c r="J109" i="16"/>
  <c r="I112" i="16"/>
  <c r="I110" i="16"/>
  <c r="I108" i="16"/>
  <c r="I111" i="16"/>
  <c r="I109" i="16"/>
  <c r="H110" i="16"/>
  <c r="H111" i="16"/>
  <c r="H112" i="16"/>
  <c r="O112" i="16" s="1"/>
  <c r="H108" i="16"/>
  <c r="H113" i="16" s="1"/>
  <c r="H109" i="16"/>
  <c r="O109" i="16" s="1"/>
  <c r="O22" i="16"/>
  <c r="P20" i="16" s="1"/>
  <c r="O50" i="16"/>
  <c r="O61" i="16"/>
  <c r="O11" i="16"/>
  <c r="O12" i="16" s="1"/>
  <c r="P10" i="16" s="1"/>
  <c r="C22" i="16"/>
  <c r="O26" i="16"/>
  <c r="O46" i="16"/>
  <c r="F65" i="16"/>
  <c r="J65" i="16"/>
  <c r="N65" i="16"/>
  <c r="O62" i="16"/>
  <c r="O69" i="16"/>
  <c r="O72" i="16"/>
  <c r="O30" i="16"/>
  <c r="C7" i="16"/>
  <c r="O5" i="16"/>
  <c r="G7" i="16"/>
  <c r="K7" i="16"/>
  <c r="O36" i="16"/>
  <c r="O56" i="16"/>
  <c r="O63" i="16"/>
  <c r="O64" i="16"/>
  <c r="O68" i="16"/>
  <c r="O85" i="16"/>
  <c r="O89" i="16" s="1"/>
  <c r="O92" i="16"/>
  <c r="O103" i="16"/>
  <c r="O127" i="16"/>
  <c r="O129" i="16" s="1"/>
  <c r="O35" i="16"/>
  <c r="O45" i="16"/>
  <c r="O132" i="16"/>
  <c r="O25" i="16"/>
  <c r="O55" i="16"/>
  <c r="M113" i="16" l="1"/>
  <c r="O110" i="16"/>
  <c r="J113" i="16"/>
  <c r="O111" i="16"/>
  <c r="I113" i="16"/>
  <c r="O108" i="16"/>
  <c r="O65" i="16"/>
  <c r="P60" i="16" s="1"/>
  <c r="P21" i="16"/>
  <c r="P128" i="16"/>
  <c r="P125" i="16"/>
  <c r="P124" i="16"/>
  <c r="P126" i="16"/>
  <c r="P87" i="16"/>
  <c r="P86" i="16"/>
  <c r="P88" i="16"/>
  <c r="P84" i="16"/>
  <c r="O57" i="16"/>
  <c r="P55" i="16" s="1"/>
  <c r="O47" i="16"/>
  <c r="P45" i="16" s="1"/>
  <c r="O97" i="16"/>
  <c r="P11" i="16"/>
  <c r="O27" i="16"/>
  <c r="P26" i="16" s="1"/>
  <c r="O37" i="16"/>
  <c r="P36" i="16" s="1"/>
  <c r="P85" i="16"/>
  <c r="O7" i="16"/>
  <c r="P6" i="16" s="1"/>
  <c r="O32" i="16"/>
  <c r="P31" i="16" s="1"/>
  <c r="O52" i="16"/>
  <c r="P51" i="16" s="1"/>
  <c r="O137" i="16"/>
  <c r="P132" i="16" s="1"/>
  <c r="P127" i="16"/>
  <c r="O73" i="16"/>
  <c r="P69" i="16" s="1"/>
  <c r="O105" i="16"/>
  <c r="P103" i="16" s="1"/>
  <c r="O113" i="16" l="1"/>
  <c r="P108" i="16" s="1"/>
  <c r="P61" i="16"/>
  <c r="P64" i="16"/>
  <c r="P62" i="16"/>
  <c r="P63" i="16"/>
  <c r="P35" i="16"/>
  <c r="P25" i="16"/>
  <c r="P30" i="16"/>
  <c r="P50" i="16"/>
  <c r="P56" i="16"/>
  <c r="P46" i="16"/>
  <c r="P72" i="16"/>
  <c r="P104" i="16"/>
  <c r="P100" i="16"/>
  <c r="P102" i="16"/>
  <c r="P101" i="16"/>
  <c r="P71" i="16"/>
  <c r="P70" i="16"/>
  <c r="P96" i="16"/>
  <c r="P93" i="16"/>
  <c r="P94" i="16"/>
  <c r="P95" i="16"/>
  <c r="P68" i="16"/>
  <c r="P133" i="16"/>
  <c r="P135" i="16"/>
  <c r="P134" i="16"/>
  <c r="P136" i="16"/>
  <c r="P5" i="16"/>
  <c r="P92" i="16"/>
  <c r="P109" i="16"/>
  <c r="P111" i="16"/>
  <c r="P112" i="16"/>
  <c r="P110" i="16" l="1"/>
  <c r="N11" i="18"/>
  <c r="N3" i="27" l="1"/>
  <c r="N29" i="23"/>
  <c r="N16" i="23"/>
  <c r="N3" i="23"/>
  <c r="N37" i="26" l="1"/>
  <c r="N36" i="26"/>
  <c r="B9" i="21" l="1"/>
  <c r="C9" i="21"/>
  <c r="D9" i="21"/>
  <c r="E9" i="21"/>
  <c r="F9" i="21"/>
  <c r="G9" i="21"/>
  <c r="H9" i="21"/>
  <c r="I9" i="21"/>
  <c r="J9" i="21"/>
  <c r="K9" i="21"/>
  <c r="L9" i="21"/>
  <c r="M12" i="27" l="1"/>
  <c r="L12" i="27"/>
  <c r="K12" i="27"/>
  <c r="J12" i="27"/>
  <c r="I12" i="27"/>
  <c r="H12" i="27"/>
  <c r="G12" i="27"/>
  <c r="F12" i="27"/>
  <c r="E12" i="27"/>
  <c r="D12" i="27"/>
  <c r="C12" i="27"/>
  <c r="B12" i="27"/>
  <c r="N11" i="27"/>
  <c r="N10" i="27"/>
  <c r="N9" i="27"/>
  <c r="N8" i="27"/>
  <c r="N7" i="27"/>
  <c r="N6" i="27"/>
  <c r="N5" i="27"/>
  <c r="N4" i="27"/>
  <c r="N12" i="27" l="1"/>
  <c r="M48" i="22" l="1"/>
  <c r="L48" i="22"/>
  <c r="K48" i="22"/>
  <c r="J48" i="22"/>
  <c r="I48" i="22"/>
  <c r="H48" i="22"/>
  <c r="G48" i="22"/>
  <c r="F48" i="22"/>
  <c r="E48" i="22"/>
  <c r="D48" i="22"/>
  <c r="C48" i="22"/>
  <c r="B48" i="22"/>
  <c r="N47" i="22"/>
  <c r="N48" i="22" s="1"/>
  <c r="N71" i="21" l="1"/>
  <c r="N72" i="21"/>
  <c r="N73" i="21"/>
  <c r="N74" i="21"/>
  <c r="N75" i="21"/>
  <c r="N76" i="21"/>
  <c r="N77" i="21"/>
  <c r="N78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48" i="21"/>
  <c r="N49" i="21"/>
  <c r="N50" i="21"/>
  <c r="N51" i="21"/>
  <c r="N52" i="21"/>
  <c r="N37" i="21"/>
  <c r="N38" i="21"/>
  <c r="N39" i="21"/>
  <c r="N40" i="21"/>
  <c r="N41" i="21"/>
  <c r="N42" i="21"/>
  <c r="N43" i="21"/>
  <c r="N44" i="21"/>
  <c r="N29" i="21"/>
  <c r="N30" i="21"/>
  <c r="N31" i="21"/>
  <c r="N32" i="21"/>
  <c r="N33" i="21"/>
  <c r="N22" i="21"/>
  <c r="N23" i="21"/>
  <c r="N24" i="21"/>
  <c r="N25" i="21"/>
  <c r="N12" i="21"/>
  <c r="N13" i="21"/>
  <c r="N14" i="21"/>
  <c r="N15" i="21"/>
  <c r="N16" i="21"/>
  <c r="N17" i="21"/>
  <c r="N18" i="21"/>
  <c r="N6" i="21"/>
  <c r="N7" i="21"/>
  <c r="N8" i="21"/>
  <c r="N3" i="21"/>
  <c r="N3" i="20"/>
  <c r="N107" i="20"/>
  <c r="N108" i="20"/>
  <c r="N109" i="20"/>
  <c r="N110" i="20"/>
  <c r="N111" i="20"/>
  <c r="N112" i="20"/>
  <c r="N113" i="20"/>
  <c r="N114" i="20"/>
  <c r="N115" i="20"/>
  <c r="N116" i="20"/>
  <c r="N117" i="20"/>
  <c r="N92" i="20"/>
  <c r="N93" i="20"/>
  <c r="N94" i="20"/>
  <c r="N95" i="20"/>
  <c r="N96" i="20"/>
  <c r="N97" i="20"/>
  <c r="N98" i="20"/>
  <c r="N99" i="20"/>
  <c r="N100" i="20"/>
  <c r="N101" i="20"/>
  <c r="N102" i="20"/>
  <c r="N103" i="20"/>
  <c r="N81" i="20"/>
  <c r="N82" i="20"/>
  <c r="N83" i="20"/>
  <c r="N84" i="20"/>
  <c r="N85" i="20"/>
  <c r="N86" i="20"/>
  <c r="N87" i="20"/>
  <c r="N88" i="20"/>
  <c r="N66" i="20"/>
  <c r="N67" i="20"/>
  <c r="N68" i="20"/>
  <c r="N69" i="20"/>
  <c r="N70" i="20"/>
  <c r="N71" i="20"/>
  <c r="N72" i="20"/>
  <c r="N73" i="20"/>
  <c r="N74" i="20"/>
  <c r="N75" i="20"/>
  <c r="N76" i="20"/>
  <c r="N77" i="20"/>
  <c r="N57" i="20"/>
  <c r="N58" i="20"/>
  <c r="N59" i="20"/>
  <c r="N60" i="20"/>
  <c r="N61" i="20"/>
  <c r="N62" i="20"/>
  <c r="N49" i="20"/>
  <c r="N50" i="20"/>
  <c r="N51" i="20"/>
  <c r="N52" i="20"/>
  <c r="N53" i="20"/>
  <c r="N38" i="20"/>
  <c r="N39" i="20"/>
  <c r="N40" i="20"/>
  <c r="N41" i="20"/>
  <c r="N42" i="20"/>
  <c r="N43" i="20"/>
  <c r="N44" i="20"/>
  <c r="N45" i="20"/>
  <c r="B46" i="20"/>
  <c r="C46" i="20"/>
  <c r="D46" i="20"/>
  <c r="E46" i="20"/>
  <c r="F46" i="20"/>
  <c r="G46" i="20"/>
  <c r="H46" i="20"/>
  <c r="I46" i="20"/>
  <c r="J46" i="20"/>
  <c r="K46" i="20"/>
  <c r="L46" i="20"/>
  <c r="M46" i="20"/>
  <c r="N30" i="20"/>
  <c r="N31" i="20"/>
  <c r="N32" i="20"/>
  <c r="N33" i="20"/>
  <c r="N34" i="20"/>
  <c r="N22" i="20"/>
  <c r="N23" i="20"/>
  <c r="N24" i="20"/>
  <c r="N25" i="20"/>
  <c r="N26" i="20"/>
  <c r="N12" i="20"/>
  <c r="N13" i="20"/>
  <c r="N14" i="20"/>
  <c r="N15" i="20"/>
  <c r="N16" i="20"/>
  <c r="N17" i="20"/>
  <c r="N18" i="20"/>
  <c r="N6" i="20"/>
  <c r="N7" i="20"/>
  <c r="N8" i="20"/>
  <c r="B9" i="20"/>
  <c r="C9" i="20"/>
  <c r="D9" i="20"/>
  <c r="E9" i="20"/>
  <c r="F9" i="20"/>
  <c r="G9" i="20"/>
  <c r="H9" i="20"/>
  <c r="I9" i="20"/>
  <c r="J9" i="20"/>
  <c r="K9" i="20"/>
  <c r="L9" i="20"/>
  <c r="M9" i="20"/>
  <c r="N26" i="21" l="1"/>
  <c r="N35" i="20"/>
  <c r="N79" i="21"/>
  <c r="O75" i="21" s="1"/>
  <c r="N53" i="21"/>
  <c r="O51" i="21" s="1"/>
  <c r="N27" i="20"/>
  <c r="N68" i="21"/>
  <c r="O66" i="21" s="1"/>
  <c r="N45" i="21"/>
  <c r="O42" i="21" s="1"/>
  <c r="N34" i="21"/>
  <c r="O33" i="21" s="1"/>
  <c r="N19" i="21"/>
  <c r="O15" i="21" s="1"/>
  <c r="N9" i="21"/>
  <c r="O6" i="21" s="1"/>
  <c r="N118" i="20"/>
  <c r="N104" i="20"/>
  <c r="N89" i="20"/>
  <c r="O81" i="20" s="1"/>
  <c r="N78" i="20"/>
  <c r="O66" i="20" s="1"/>
  <c r="N63" i="20"/>
  <c r="O62" i="20" s="1"/>
  <c r="N54" i="20"/>
  <c r="O50" i="20" s="1"/>
  <c r="N46" i="20"/>
  <c r="O38" i="20" s="1"/>
  <c r="N19" i="20"/>
  <c r="O16" i="20" s="1"/>
  <c r="N9" i="20"/>
  <c r="O7" i="20" s="1"/>
  <c r="J34" i="21"/>
  <c r="J104" i="20"/>
  <c r="I35" i="20"/>
  <c r="O78" i="21" l="1"/>
  <c r="O77" i="21"/>
  <c r="O71" i="21"/>
  <c r="O76" i="21"/>
  <c r="O48" i="21"/>
  <c r="O50" i="21"/>
  <c r="O49" i="21"/>
  <c r="O31" i="21"/>
  <c r="O30" i="21"/>
  <c r="O73" i="21"/>
  <c r="O13" i="20"/>
  <c r="O52" i="21"/>
  <c r="O74" i="21"/>
  <c r="O72" i="21"/>
  <c r="O62" i="21"/>
  <c r="O65" i="21"/>
  <c r="O8" i="21"/>
  <c r="O7" i="21"/>
  <c r="O58" i="20"/>
  <c r="O14" i="20"/>
  <c r="O12" i="20"/>
  <c r="O56" i="21"/>
  <c r="O63" i="21"/>
  <c r="O60" i="21"/>
  <c r="O59" i="21"/>
  <c r="O67" i="21"/>
  <c r="O64" i="21"/>
  <c r="O57" i="21"/>
  <c r="O58" i="21"/>
  <c r="O61" i="21"/>
  <c r="O43" i="21"/>
  <c r="O40" i="21"/>
  <c r="O37" i="21"/>
  <c r="O41" i="21"/>
  <c r="O38" i="21"/>
  <c r="O44" i="21"/>
  <c r="O39" i="21"/>
  <c r="O32" i="21"/>
  <c r="O29" i="21"/>
  <c r="O13" i="21"/>
  <c r="O12" i="21"/>
  <c r="O17" i="21"/>
  <c r="O16" i="21"/>
  <c r="O18" i="21"/>
  <c r="O14" i="21"/>
  <c r="O42" i="20"/>
  <c r="O39" i="20"/>
  <c r="O52" i="20"/>
  <c r="O82" i="20"/>
  <c r="O18" i="20"/>
  <c r="O41" i="20"/>
  <c r="O45" i="20"/>
  <c r="O107" i="20"/>
  <c r="O115" i="20"/>
  <c r="O111" i="20"/>
  <c r="O109" i="20"/>
  <c r="O114" i="20"/>
  <c r="O108" i="20"/>
  <c r="O113" i="20"/>
  <c r="O112" i="20"/>
  <c r="O117" i="20"/>
  <c r="O116" i="20"/>
  <c r="O110" i="20"/>
  <c r="O99" i="20"/>
  <c r="O96" i="20"/>
  <c r="O95" i="20"/>
  <c r="O103" i="20"/>
  <c r="O100" i="20"/>
  <c r="O97" i="20"/>
  <c r="O92" i="20"/>
  <c r="O101" i="20"/>
  <c r="O94" i="20"/>
  <c r="O98" i="20"/>
  <c r="O93" i="20"/>
  <c r="O102" i="20"/>
  <c r="O85" i="20"/>
  <c r="O83" i="20"/>
  <c r="O87" i="20"/>
  <c r="O86" i="20"/>
  <c r="O84" i="20"/>
  <c r="O88" i="20"/>
  <c r="O76" i="20"/>
  <c r="O70" i="20"/>
  <c r="O75" i="20"/>
  <c r="O69" i="20"/>
  <c r="O74" i="20"/>
  <c r="O68" i="20"/>
  <c r="O73" i="20"/>
  <c r="O67" i="20"/>
  <c r="O72" i="20"/>
  <c r="O77" i="20"/>
  <c r="O71" i="20"/>
  <c r="O57" i="20"/>
  <c r="O61" i="20"/>
  <c r="O59" i="20"/>
  <c r="O60" i="20"/>
  <c r="O49" i="20"/>
  <c r="O51" i="20"/>
  <c r="O53" i="20"/>
  <c r="O43" i="20"/>
  <c r="O44" i="20"/>
  <c r="O40" i="20"/>
  <c r="O17" i="20"/>
  <c r="O15" i="20"/>
  <c r="O8" i="20"/>
  <c r="O6" i="20"/>
  <c r="I63" i="20"/>
  <c r="H35" i="20" l="1"/>
  <c r="N51" i="5"/>
  <c r="N52" i="5"/>
  <c r="N53" i="5"/>
  <c r="N54" i="5"/>
  <c r="N55" i="5"/>
  <c r="N56" i="5"/>
  <c r="N57" i="5"/>
  <c r="M58" i="5"/>
  <c r="L58" i="5"/>
  <c r="K58" i="5"/>
  <c r="J58" i="5"/>
  <c r="I58" i="5"/>
  <c r="H58" i="5"/>
  <c r="G58" i="5"/>
  <c r="F58" i="5"/>
  <c r="E58" i="5"/>
  <c r="D58" i="5"/>
  <c r="C58" i="5"/>
  <c r="B58" i="5"/>
  <c r="N28" i="5"/>
  <c r="N29" i="5"/>
  <c r="N30" i="5"/>
  <c r="N31" i="5"/>
  <c r="N32" i="5"/>
  <c r="N33" i="5"/>
  <c r="N34" i="5"/>
  <c r="M35" i="5"/>
  <c r="L35" i="5"/>
  <c r="K35" i="5"/>
  <c r="J35" i="5"/>
  <c r="I35" i="5"/>
  <c r="H35" i="5"/>
  <c r="G35" i="5"/>
  <c r="F35" i="5"/>
  <c r="E35" i="5"/>
  <c r="D35" i="5"/>
  <c r="C35" i="5"/>
  <c r="B35" i="5"/>
  <c r="N40" i="5"/>
  <c r="N41" i="5"/>
  <c r="N42" i="5"/>
  <c r="N43" i="5"/>
  <c r="N44" i="5"/>
  <c r="N45" i="5"/>
  <c r="N46" i="5"/>
  <c r="H47" i="5"/>
  <c r="G47" i="5"/>
  <c r="F47" i="5"/>
  <c r="E47" i="5"/>
  <c r="D47" i="5"/>
  <c r="C47" i="5"/>
  <c r="B47" i="5"/>
  <c r="N17" i="5"/>
  <c r="N18" i="5"/>
  <c r="N19" i="5"/>
  <c r="N20" i="5"/>
  <c r="N21" i="5"/>
  <c r="N22" i="5"/>
  <c r="N23" i="5"/>
  <c r="M24" i="5"/>
  <c r="L24" i="5"/>
  <c r="K24" i="5"/>
  <c r="J24" i="5"/>
  <c r="I24" i="5"/>
  <c r="H24" i="5"/>
  <c r="G24" i="5"/>
  <c r="F24" i="5"/>
  <c r="E24" i="5"/>
  <c r="D24" i="5"/>
  <c r="C24" i="5"/>
  <c r="B24" i="5"/>
  <c r="N5" i="5"/>
  <c r="N6" i="5"/>
  <c r="N7" i="5"/>
  <c r="N8" i="5"/>
  <c r="N9" i="5"/>
  <c r="N10" i="5"/>
  <c r="N4" i="5"/>
  <c r="M11" i="5"/>
  <c r="L11" i="5"/>
  <c r="K11" i="5"/>
  <c r="J11" i="5"/>
  <c r="I11" i="5"/>
  <c r="H11" i="5"/>
  <c r="G11" i="5"/>
  <c r="F11" i="5"/>
  <c r="E11" i="5"/>
  <c r="D11" i="5"/>
  <c r="C11" i="5"/>
  <c r="B11" i="5"/>
  <c r="N27" i="22"/>
  <c r="N29" i="25"/>
  <c r="N28" i="25"/>
  <c r="N30" i="25"/>
  <c r="N31" i="25"/>
  <c r="N32" i="25"/>
  <c r="N33" i="25"/>
  <c r="N34" i="25"/>
  <c r="N35" i="25"/>
  <c r="N36" i="25"/>
  <c r="N37" i="25"/>
  <c r="N1" i="25"/>
  <c r="N4" i="25"/>
  <c r="N113" i="25" s="1"/>
  <c r="G34" i="21"/>
  <c r="G35" i="20"/>
  <c r="E104" i="20"/>
  <c r="N60" i="26"/>
  <c r="N59" i="26"/>
  <c r="N58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N52" i="26"/>
  <c r="N51" i="26"/>
  <c r="N50" i="26"/>
  <c r="N49" i="26"/>
  <c r="N48" i="26"/>
  <c r="N47" i="26"/>
  <c r="N46" i="26"/>
  <c r="N45" i="26"/>
  <c r="N44" i="26"/>
  <c r="N4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N31" i="26"/>
  <c r="N30" i="26"/>
  <c r="N29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N13" i="26"/>
  <c r="N12" i="26"/>
  <c r="N11" i="26"/>
  <c r="N10" i="26"/>
  <c r="N9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N4" i="26"/>
  <c r="N42" i="26"/>
  <c r="N8" i="26"/>
  <c r="N28" i="26"/>
  <c r="N57" i="26"/>
  <c r="N38" i="26"/>
  <c r="O37" i="26" s="1"/>
  <c r="N25" i="25"/>
  <c r="N24" i="25"/>
  <c r="N23" i="25"/>
  <c r="N22" i="25"/>
  <c r="N21" i="25"/>
  <c r="N20" i="25"/>
  <c r="N19" i="25"/>
  <c r="N18" i="25"/>
  <c r="N17" i="25"/>
  <c r="N16" i="25"/>
  <c r="B34" i="21"/>
  <c r="C34" i="21"/>
  <c r="N37" i="23"/>
  <c r="N36" i="23"/>
  <c r="N35" i="23"/>
  <c r="N34" i="23"/>
  <c r="N33" i="23"/>
  <c r="N32" i="23"/>
  <c r="N31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N30" i="23"/>
  <c r="N10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N9" i="17"/>
  <c r="M146" i="25"/>
  <c r="L146" i="25"/>
  <c r="K146" i="25"/>
  <c r="J146" i="25"/>
  <c r="I146" i="25"/>
  <c r="H146" i="25"/>
  <c r="G146" i="25"/>
  <c r="F146" i="25"/>
  <c r="E146" i="25"/>
  <c r="D146" i="25"/>
  <c r="C146" i="25"/>
  <c r="B146" i="25"/>
  <c r="M145" i="25"/>
  <c r="L145" i="25"/>
  <c r="K145" i="25"/>
  <c r="J145" i="25"/>
  <c r="I145" i="25"/>
  <c r="H145" i="25"/>
  <c r="G145" i="25"/>
  <c r="F145" i="25"/>
  <c r="E145" i="25"/>
  <c r="D145" i="25"/>
  <c r="C145" i="25"/>
  <c r="B145" i="25"/>
  <c r="M144" i="25"/>
  <c r="L144" i="25"/>
  <c r="K144" i="25"/>
  <c r="J144" i="25"/>
  <c r="I144" i="25"/>
  <c r="H144" i="25"/>
  <c r="G144" i="25"/>
  <c r="F144" i="25"/>
  <c r="E144" i="25"/>
  <c r="D144" i="25"/>
  <c r="C144" i="25"/>
  <c r="B144" i="25"/>
  <c r="M143" i="25"/>
  <c r="L143" i="25"/>
  <c r="K143" i="25"/>
  <c r="J143" i="25"/>
  <c r="I143" i="25"/>
  <c r="H143" i="25"/>
  <c r="G143" i="25"/>
  <c r="F143" i="25"/>
  <c r="E143" i="25"/>
  <c r="D143" i="25"/>
  <c r="C143" i="25"/>
  <c r="B143" i="25"/>
  <c r="M142" i="25"/>
  <c r="L142" i="25"/>
  <c r="K142" i="25"/>
  <c r="J142" i="25"/>
  <c r="I142" i="25"/>
  <c r="H142" i="25"/>
  <c r="G142" i="25"/>
  <c r="F142" i="25"/>
  <c r="E142" i="25"/>
  <c r="D142" i="25"/>
  <c r="C142" i="25"/>
  <c r="B142" i="25"/>
  <c r="M141" i="25"/>
  <c r="L141" i="25"/>
  <c r="K141" i="25"/>
  <c r="J141" i="25"/>
  <c r="I141" i="25"/>
  <c r="H141" i="25"/>
  <c r="G141" i="25"/>
  <c r="F141" i="25"/>
  <c r="E141" i="25"/>
  <c r="D141" i="25"/>
  <c r="C141" i="25"/>
  <c r="B141" i="25"/>
  <c r="M140" i="25"/>
  <c r="L140" i="25"/>
  <c r="K140" i="25"/>
  <c r="J140" i="25"/>
  <c r="I140" i="25"/>
  <c r="H140" i="25"/>
  <c r="G140" i="25"/>
  <c r="F140" i="25"/>
  <c r="E140" i="25"/>
  <c r="D140" i="25"/>
  <c r="C140" i="25"/>
  <c r="B140" i="25"/>
  <c r="M139" i="25"/>
  <c r="L139" i="25"/>
  <c r="K139" i="25"/>
  <c r="J139" i="25"/>
  <c r="I139" i="25"/>
  <c r="H139" i="25"/>
  <c r="G139" i="25"/>
  <c r="F139" i="25"/>
  <c r="E139" i="25"/>
  <c r="D139" i="25"/>
  <c r="C139" i="25"/>
  <c r="B139" i="25"/>
  <c r="M138" i="25"/>
  <c r="L138" i="25"/>
  <c r="K138" i="25"/>
  <c r="J138" i="25"/>
  <c r="I138" i="25"/>
  <c r="H138" i="25"/>
  <c r="G138" i="25"/>
  <c r="F138" i="25"/>
  <c r="E138" i="25"/>
  <c r="D138" i="25"/>
  <c r="C138" i="25"/>
  <c r="B138" i="25"/>
  <c r="M137" i="25"/>
  <c r="L137" i="25"/>
  <c r="K137" i="25"/>
  <c r="J137" i="25"/>
  <c r="I137" i="25"/>
  <c r="H137" i="25"/>
  <c r="G137" i="25"/>
  <c r="F137" i="25"/>
  <c r="E137" i="25"/>
  <c r="D137" i="25"/>
  <c r="C137" i="25"/>
  <c r="B137" i="25"/>
  <c r="M134" i="25"/>
  <c r="L134" i="25"/>
  <c r="K134" i="25"/>
  <c r="J134" i="25"/>
  <c r="I134" i="25"/>
  <c r="H134" i="25"/>
  <c r="G134" i="25"/>
  <c r="F134" i="25"/>
  <c r="E134" i="25"/>
  <c r="D134" i="25"/>
  <c r="C134" i="25"/>
  <c r="B134" i="25"/>
  <c r="M133" i="25"/>
  <c r="L133" i="25"/>
  <c r="K133" i="25"/>
  <c r="J133" i="25"/>
  <c r="I133" i="25"/>
  <c r="H133" i="25"/>
  <c r="G133" i="25"/>
  <c r="F133" i="25"/>
  <c r="E133" i="25"/>
  <c r="D133" i="25"/>
  <c r="C133" i="25"/>
  <c r="B133" i="25"/>
  <c r="M132" i="25"/>
  <c r="L132" i="25"/>
  <c r="K132" i="25"/>
  <c r="J132" i="25"/>
  <c r="I132" i="25"/>
  <c r="H132" i="25"/>
  <c r="G132" i="25"/>
  <c r="F132" i="25"/>
  <c r="E132" i="25"/>
  <c r="D132" i="25"/>
  <c r="C132" i="25"/>
  <c r="B132" i="25"/>
  <c r="M131" i="25"/>
  <c r="L131" i="25"/>
  <c r="K131" i="25"/>
  <c r="J131" i="25"/>
  <c r="I131" i="25"/>
  <c r="H131" i="25"/>
  <c r="G131" i="25"/>
  <c r="F131" i="25"/>
  <c r="E131" i="25"/>
  <c r="D131" i="25"/>
  <c r="C131" i="25"/>
  <c r="B131" i="25"/>
  <c r="M130" i="25"/>
  <c r="L130" i="25"/>
  <c r="K130" i="25"/>
  <c r="J130" i="25"/>
  <c r="I130" i="25"/>
  <c r="H130" i="25"/>
  <c r="G130" i="25"/>
  <c r="F130" i="25"/>
  <c r="E130" i="25"/>
  <c r="D130" i="25"/>
  <c r="C130" i="25"/>
  <c r="B130" i="25"/>
  <c r="M129" i="25"/>
  <c r="L129" i="25"/>
  <c r="K129" i="25"/>
  <c r="J129" i="25"/>
  <c r="I129" i="25"/>
  <c r="H129" i="25"/>
  <c r="G129" i="25"/>
  <c r="F129" i="25"/>
  <c r="E129" i="25"/>
  <c r="D129" i="25"/>
  <c r="C129" i="25"/>
  <c r="B129" i="25"/>
  <c r="M128" i="25"/>
  <c r="L128" i="25"/>
  <c r="K128" i="25"/>
  <c r="J128" i="25"/>
  <c r="I128" i="25"/>
  <c r="H128" i="25"/>
  <c r="G128" i="25"/>
  <c r="F128" i="25"/>
  <c r="E128" i="25"/>
  <c r="D128" i="25"/>
  <c r="C128" i="25"/>
  <c r="B128" i="25"/>
  <c r="M127" i="25"/>
  <c r="L127" i="25"/>
  <c r="K127" i="25"/>
  <c r="J127" i="25"/>
  <c r="I127" i="25"/>
  <c r="H127" i="25"/>
  <c r="G127" i="25"/>
  <c r="F127" i="25"/>
  <c r="E127" i="25"/>
  <c r="D127" i="25"/>
  <c r="C127" i="25"/>
  <c r="B127" i="25"/>
  <c r="M126" i="25"/>
  <c r="L126" i="25"/>
  <c r="K126" i="25"/>
  <c r="J126" i="25"/>
  <c r="I126" i="25"/>
  <c r="H126" i="25"/>
  <c r="G126" i="25"/>
  <c r="F126" i="25"/>
  <c r="E126" i="25"/>
  <c r="D126" i="25"/>
  <c r="C126" i="25"/>
  <c r="B126" i="25"/>
  <c r="M125" i="25"/>
  <c r="L125" i="25"/>
  <c r="K125" i="25"/>
  <c r="J125" i="25"/>
  <c r="I125" i="25"/>
  <c r="H125" i="25"/>
  <c r="G125" i="25"/>
  <c r="F125" i="25"/>
  <c r="E125" i="25"/>
  <c r="D125" i="25"/>
  <c r="C125" i="25"/>
  <c r="B125" i="25"/>
  <c r="M110" i="25"/>
  <c r="L110" i="25"/>
  <c r="K110" i="25"/>
  <c r="J110" i="25"/>
  <c r="I110" i="25"/>
  <c r="H110" i="25"/>
  <c r="G110" i="25"/>
  <c r="F110" i="25"/>
  <c r="E110" i="25"/>
  <c r="D110" i="25"/>
  <c r="C110" i="25"/>
  <c r="B110" i="25"/>
  <c r="M109" i="25"/>
  <c r="L109" i="25"/>
  <c r="K109" i="25"/>
  <c r="J109" i="25"/>
  <c r="I109" i="25"/>
  <c r="H109" i="25"/>
  <c r="G109" i="25"/>
  <c r="F109" i="25"/>
  <c r="E109" i="25"/>
  <c r="D109" i="25"/>
  <c r="C109" i="25"/>
  <c r="B109" i="25"/>
  <c r="M108" i="25"/>
  <c r="L108" i="25"/>
  <c r="K108" i="25"/>
  <c r="J108" i="25"/>
  <c r="I108" i="25"/>
  <c r="H108" i="25"/>
  <c r="G108" i="25"/>
  <c r="F108" i="25"/>
  <c r="E108" i="25"/>
  <c r="D108" i="25"/>
  <c r="C108" i="25"/>
  <c r="B108" i="25"/>
  <c r="M107" i="25"/>
  <c r="L107" i="25"/>
  <c r="K107" i="25"/>
  <c r="J107" i="25"/>
  <c r="I107" i="25"/>
  <c r="H107" i="25"/>
  <c r="G107" i="25"/>
  <c r="F107" i="25"/>
  <c r="E107" i="25"/>
  <c r="D107" i="25"/>
  <c r="C107" i="25"/>
  <c r="B107" i="25"/>
  <c r="M106" i="25"/>
  <c r="L106" i="25"/>
  <c r="K106" i="25"/>
  <c r="J106" i="25"/>
  <c r="I106" i="25"/>
  <c r="H106" i="25"/>
  <c r="G106" i="25"/>
  <c r="F106" i="25"/>
  <c r="E106" i="25"/>
  <c r="D106" i="25"/>
  <c r="C106" i="25"/>
  <c r="B106" i="25"/>
  <c r="M105" i="25"/>
  <c r="M153" i="25" s="1"/>
  <c r="L105" i="25"/>
  <c r="L153" i="25" s="1"/>
  <c r="K105" i="25"/>
  <c r="K153" i="25" s="1"/>
  <c r="J105" i="25"/>
  <c r="J153" i="25" s="1"/>
  <c r="I105" i="25"/>
  <c r="I153" i="25" s="1"/>
  <c r="H105" i="25"/>
  <c r="H153" i="25" s="1"/>
  <c r="G105" i="25"/>
  <c r="G153" i="25" s="1"/>
  <c r="F105" i="25"/>
  <c r="F153" i="25" s="1"/>
  <c r="E105" i="25"/>
  <c r="E153" i="25" s="1"/>
  <c r="D105" i="25"/>
  <c r="D153" i="25" s="1"/>
  <c r="C105" i="25"/>
  <c r="C153" i="25" s="1"/>
  <c r="B105" i="25"/>
  <c r="B153" i="25" s="1"/>
  <c r="M104" i="25"/>
  <c r="M152" i="25" s="1"/>
  <c r="L104" i="25"/>
  <c r="L152" i="25" s="1"/>
  <c r="K104" i="25"/>
  <c r="K152" i="25" s="1"/>
  <c r="J104" i="25"/>
  <c r="J152" i="25" s="1"/>
  <c r="I104" i="25"/>
  <c r="I152" i="25" s="1"/>
  <c r="H104" i="25"/>
  <c r="H152" i="25" s="1"/>
  <c r="G104" i="25"/>
  <c r="G152" i="25" s="1"/>
  <c r="F104" i="25"/>
  <c r="F152" i="25" s="1"/>
  <c r="E104" i="25"/>
  <c r="E152" i="25" s="1"/>
  <c r="D104" i="25"/>
  <c r="D152" i="25" s="1"/>
  <c r="C104" i="25"/>
  <c r="C152" i="25" s="1"/>
  <c r="B104" i="25"/>
  <c r="B152" i="25" s="1"/>
  <c r="M103" i="25"/>
  <c r="M151" i="25" s="1"/>
  <c r="L103" i="25"/>
  <c r="L151" i="25" s="1"/>
  <c r="K103" i="25"/>
  <c r="K151" i="25" s="1"/>
  <c r="J103" i="25"/>
  <c r="J151" i="25" s="1"/>
  <c r="I103" i="25"/>
  <c r="I151" i="25" s="1"/>
  <c r="H103" i="25"/>
  <c r="H151" i="25" s="1"/>
  <c r="G103" i="25"/>
  <c r="G151" i="25" s="1"/>
  <c r="F103" i="25"/>
  <c r="F151" i="25" s="1"/>
  <c r="E103" i="25"/>
  <c r="E151" i="25" s="1"/>
  <c r="D103" i="25"/>
  <c r="D151" i="25" s="1"/>
  <c r="C103" i="25"/>
  <c r="C151" i="25" s="1"/>
  <c r="B103" i="25"/>
  <c r="B151" i="25" s="1"/>
  <c r="M102" i="25"/>
  <c r="M150" i="25" s="1"/>
  <c r="L102" i="25"/>
  <c r="L150" i="25" s="1"/>
  <c r="K102" i="25"/>
  <c r="K150" i="25" s="1"/>
  <c r="J102" i="25"/>
  <c r="J150" i="25" s="1"/>
  <c r="I102" i="25"/>
  <c r="I150" i="25" s="1"/>
  <c r="H102" i="25"/>
  <c r="H150" i="25" s="1"/>
  <c r="G102" i="25"/>
  <c r="G150" i="25" s="1"/>
  <c r="F102" i="25"/>
  <c r="F150" i="25" s="1"/>
  <c r="E102" i="25"/>
  <c r="E150" i="25" s="1"/>
  <c r="D102" i="25"/>
  <c r="D150" i="25" s="1"/>
  <c r="C102" i="25"/>
  <c r="C150" i="25" s="1"/>
  <c r="B102" i="25"/>
  <c r="B150" i="25" s="1"/>
  <c r="M101" i="25"/>
  <c r="M149" i="25" s="1"/>
  <c r="L101" i="25"/>
  <c r="L149" i="25" s="1"/>
  <c r="K101" i="25"/>
  <c r="K149" i="25" s="1"/>
  <c r="J101" i="25"/>
  <c r="J149" i="25" s="1"/>
  <c r="I101" i="25"/>
  <c r="I149" i="25" s="1"/>
  <c r="H101" i="25"/>
  <c r="H149" i="25" s="1"/>
  <c r="G101" i="25"/>
  <c r="G149" i="25" s="1"/>
  <c r="F101" i="25"/>
  <c r="F149" i="25" s="1"/>
  <c r="E101" i="25"/>
  <c r="E149" i="25" s="1"/>
  <c r="D101" i="25"/>
  <c r="D149" i="25" s="1"/>
  <c r="C101" i="25"/>
  <c r="C149" i="25" s="1"/>
  <c r="B101" i="25"/>
  <c r="B149" i="25" s="1"/>
  <c r="M98" i="25"/>
  <c r="L98" i="25"/>
  <c r="K98" i="25"/>
  <c r="J98" i="25"/>
  <c r="I98" i="25"/>
  <c r="H98" i="25"/>
  <c r="G98" i="25"/>
  <c r="F98" i="25"/>
  <c r="E98" i="25"/>
  <c r="D98" i="25"/>
  <c r="C98" i="25"/>
  <c r="B98" i="25"/>
  <c r="M97" i="25"/>
  <c r="L97" i="25"/>
  <c r="K97" i="25"/>
  <c r="J97" i="25"/>
  <c r="I97" i="25"/>
  <c r="H97" i="25"/>
  <c r="G97" i="25"/>
  <c r="F97" i="25"/>
  <c r="E97" i="25"/>
  <c r="D97" i="25"/>
  <c r="C97" i="25"/>
  <c r="B97" i="25"/>
  <c r="M96" i="25"/>
  <c r="L96" i="25"/>
  <c r="K96" i="25"/>
  <c r="J96" i="25"/>
  <c r="I96" i="25"/>
  <c r="H96" i="25"/>
  <c r="G96" i="25"/>
  <c r="F96" i="25"/>
  <c r="E96" i="25"/>
  <c r="D96" i="25"/>
  <c r="C96" i="25"/>
  <c r="B96" i="25"/>
  <c r="M95" i="25"/>
  <c r="L95" i="25"/>
  <c r="K95" i="25"/>
  <c r="J95" i="25"/>
  <c r="I95" i="25"/>
  <c r="H95" i="25"/>
  <c r="G95" i="25"/>
  <c r="F95" i="25"/>
  <c r="E95" i="25"/>
  <c r="D95" i="25"/>
  <c r="C95" i="25"/>
  <c r="B95" i="25"/>
  <c r="M94" i="25"/>
  <c r="L94" i="25"/>
  <c r="K94" i="25"/>
  <c r="J94" i="25"/>
  <c r="I94" i="25"/>
  <c r="H94" i="25"/>
  <c r="G94" i="25"/>
  <c r="F94" i="25"/>
  <c r="E94" i="25"/>
  <c r="D94" i="25"/>
  <c r="C94" i="25"/>
  <c r="B94" i="25"/>
  <c r="M93" i="25"/>
  <c r="L93" i="25"/>
  <c r="K93" i="25"/>
  <c r="J93" i="25"/>
  <c r="I93" i="25"/>
  <c r="H93" i="25"/>
  <c r="G93" i="25"/>
  <c r="F93" i="25"/>
  <c r="E93" i="25"/>
  <c r="D93" i="25"/>
  <c r="C93" i="25"/>
  <c r="B93" i="25"/>
  <c r="M92" i="25"/>
  <c r="L92" i="25"/>
  <c r="K92" i="25"/>
  <c r="J92" i="25"/>
  <c r="I92" i="25"/>
  <c r="H92" i="25"/>
  <c r="G92" i="25"/>
  <c r="F92" i="25"/>
  <c r="E92" i="25"/>
  <c r="D92" i="25"/>
  <c r="C92" i="25"/>
  <c r="B92" i="25"/>
  <c r="M91" i="25"/>
  <c r="L91" i="25"/>
  <c r="K91" i="25"/>
  <c r="J91" i="25"/>
  <c r="I91" i="25"/>
  <c r="H91" i="25"/>
  <c r="G91" i="25"/>
  <c r="F91" i="25"/>
  <c r="E91" i="25"/>
  <c r="D91" i="25"/>
  <c r="C91" i="25"/>
  <c r="B91" i="25"/>
  <c r="M90" i="25"/>
  <c r="L90" i="25"/>
  <c r="K90" i="25"/>
  <c r="J90" i="25"/>
  <c r="I90" i="25"/>
  <c r="H90" i="25"/>
  <c r="G90" i="25"/>
  <c r="F90" i="25"/>
  <c r="E90" i="25"/>
  <c r="D90" i="25"/>
  <c r="C90" i="25"/>
  <c r="B90" i="25"/>
  <c r="M89" i="25"/>
  <c r="L89" i="25"/>
  <c r="K89" i="25"/>
  <c r="J89" i="25"/>
  <c r="I89" i="25"/>
  <c r="H89" i="25"/>
  <c r="G89" i="25"/>
  <c r="F89" i="25"/>
  <c r="E89" i="25"/>
  <c r="D89" i="25"/>
  <c r="C89" i="25"/>
  <c r="B89" i="25"/>
  <c r="N73" i="25"/>
  <c r="N72" i="25"/>
  <c r="N71" i="25"/>
  <c r="N70" i="25"/>
  <c r="N69" i="25"/>
  <c r="N68" i="25"/>
  <c r="N67" i="25"/>
  <c r="N66" i="25"/>
  <c r="N65" i="25"/>
  <c r="N64" i="25"/>
  <c r="N61" i="25"/>
  <c r="N60" i="25"/>
  <c r="N59" i="25"/>
  <c r="N58" i="25"/>
  <c r="N57" i="25"/>
  <c r="N56" i="25"/>
  <c r="N55" i="25"/>
  <c r="N54" i="25"/>
  <c r="N53" i="25"/>
  <c r="N52" i="25"/>
  <c r="N49" i="25"/>
  <c r="N48" i="25"/>
  <c r="N47" i="25"/>
  <c r="N46" i="25"/>
  <c r="N45" i="25"/>
  <c r="N44" i="25"/>
  <c r="N43" i="25"/>
  <c r="N42" i="25"/>
  <c r="N41" i="25"/>
  <c r="N40" i="25"/>
  <c r="N13" i="25"/>
  <c r="N12" i="25"/>
  <c r="N11" i="25"/>
  <c r="N10" i="25"/>
  <c r="N9" i="25"/>
  <c r="N8" i="25"/>
  <c r="N117" i="25" s="1"/>
  <c r="N7" i="25"/>
  <c r="N6" i="25"/>
  <c r="N115" i="25" s="1"/>
  <c r="N5" i="25"/>
  <c r="N114" i="25" s="1"/>
  <c r="N69" i="5"/>
  <c r="N68" i="5"/>
  <c r="N67" i="5"/>
  <c r="N66" i="5"/>
  <c r="N65" i="5"/>
  <c r="L70" i="5"/>
  <c r="H70" i="5"/>
  <c r="D70" i="5"/>
  <c r="N64" i="5"/>
  <c r="M70" i="5"/>
  <c r="K70" i="5"/>
  <c r="J70" i="5"/>
  <c r="I70" i="5"/>
  <c r="G70" i="5"/>
  <c r="F70" i="5"/>
  <c r="E70" i="5"/>
  <c r="C70" i="5"/>
  <c r="N63" i="5"/>
  <c r="M47" i="5"/>
  <c r="L47" i="5"/>
  <c r="K47" i="5"/>
  <c r="J47" i="5"/>
  <c r="I47" i="5"/>
  <c r="B70" i="5"/>
  <c r="N17" i="22"/>
  <c r="N10" i="18"/>
  <c r="N12" i="18"/>
  <c r="N13" i="18"/>
  <c r="N14" i="18"/>
  <c r="N9" i="18"/>
  <c r="N28" i="22"/>
  <c r="O39" i="14"/>
  <c r="O40" i="14"/>
  <c r="O41" i="14"/>
  <c r="O42" i="14"/>
  <c r="O43" i="14"/>
  <c r="O44" i="14"/>
  <c r="O45" i="14"/>
  <c r="O46" i="14"/>
  <c r="M34" i="21"/>
  <c r="M35" i="20"/>
  <c r="L34" i="21"/>
  <c r="H34" i="21"/>
  <c r="I34" i="21"/>
  <c r="K34" i="21"/>
  <c r="N24" i="23"/>
  <c r="N23" i="23"/>
  <c r="N22" i="23"/>
  <c r="N18" i="23"/>
  <c r="K25" i="23"/>
  <c r="J25" i="23"/>
  <c r="I25" i="23"/>
  <c r="H25" i="23"/>
  <c r="G25" i="23"/>
  <c r="F25" i="23"/>
  <c r="E25" i="23"/>
  <c r="D25" i="23"/>
  <c r="C25" i="23"/>
  <c r="B25" i="23"/>
  <c r="N11" i="23"/>
  <c r="N10" i="23"/>
  <c r="N9" i="23"/>
  <c r="N8" i="23"/>
  <c r="K12" i="23"/>
  <c r="J12" i="23"/>
  <c r="I12" i="23"/>
  <c r="H12" i="23"/>
  <c r="G12" i="23"/>
  <c r="F12" i="23"/>
  <c r="E12" i="23"/>
  <c r="D12" i="23"/>
  <c r="C12" i="23"/>
  <c r="B12" i="23"/>
  <c r="M12" i="23"/>
  <c r="N5" i="23"/>
  <c r="N7" i="23"/>
  <c r="N20" i="23"/>
  <c r="N6" i="23"/>
  <c r="M25" i="23"/>
  <c r="N19" i="23"/>
  <c r="N21" i="23"/>
  <c r="L12" i="23"/>
  <c r="L25" i="23"/>
  <c r="N17" i="23"/>
  <c r="N4" i="23"/>
  <c r="N4" i="6"/>
  <c r="H6" i="17"/>
  <c r="N83" i="14"/>
  <c r="M83" i="14"/>
  <c r="L83" i="14"/>
  <c r="K83" i="14"/>
  <c r="J83" i="14"/>
  <c r="I83" i="14"/>
  <c r="H83" i="14"/>
  <c r="G83" i="14"/>
  <c r="F83" i="14"/>
  <c r="E83" i="14"/>
  <c r="D83" i="14"/>
  <c r="C83" i="14"/>
  <c r="O82" i="14"/>
  <c r="O81" i="14"/>
  <c r="O80" i="14"/>
  <c r="O79" i="14"/>
  <c r="O78" i="14"/>
  <c r="O77" i="14"/>
  <c r="O76" i="14"/>
  <c r="O75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M79" i="21"/>
  <c r="L79" i="21"/>
  <c r="K79" i="21"/>
  <c r="J79" i="21"/>
  <c r="I79" i="21"/>
  <c r="H79" i="21"/>
  <c r="G79" i="21"/>
  <c r="F79" i="21"/>
  <c r="E79" i="21"/>
  <c r="D79" i="21"/>
  <c r="C79" i="21"/>
  <c r="B79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F34" i="21"/>
  <c r="E34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M9" i="21"/>
  <c r="M118" i="20"/>
  <c r="L118" i="20"/>
  <c r="K118" i="20"/>
  <c r="J118" i="20"/>
  <c r="I118" i="20"/>
  <c r="H118" i="20"/>
  <c r="G118" i="20"/>
  <c r="F118" i="20"/>
  <c r="E118" i="20"/>
  <c r="D118" i="20"/>
  <c r="C118" i="20"/>
  <c r="B118" i="20"/>
  <c r="M104" i="20"/>
  <c r="L104" i="20"/>
  <c r="K104" i="20"/>
  <c r="I104" i="20"/>
  <c r="H104" i="20"/>
  <c r="G104" i="20"/>
  <c r="F104" i="20"/>
  <c r="D104" i="20"/>
  <c r="C104" i="20"/>
  <c r="B104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M78" i="20"/>
  <c r="L78" i="20"/>
  <c r="K78" i="20"/>
  <c r="J78" i="20"/>
  <c r="I78" i="20"/>
  <c r="H78" i="20"/>
  <c r="G78" i="20"/>
  <c r="F78" i="20"/>
  <c r="E78" i="20"/>
  <c r="D78" i="20"/>
  <c r="C78" i="20"/>
  <c r="M63" i="20"/>
  <c r="L63" i="20"/>
  <c r="K63" i="20"/>
  <c r="J63" i="20"/>
  <c r="H63" i="20"/>
  <c r="G63" i="20"/>
  <c r="F63" i="20"/>
  <c r="E63" i="20"/>
  <c r="D63" i="20"/>
  <c r="C63" i="20"/>
  <c r="B63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L35" i="20"/>
  <c r="J35" i="20"/>
  <c r="F35" i="20"/>
  <c r="E35" i="20"/>
  <c r="D35" i="20"/>
  <c r="C35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4" i="22"/>
  <c r="N15" i="22"/>
  <c r="N16" i="22"/>
  <c r="N71" i="14"/>
  <c r="M71" i="14"/>
  <c r="L71" i="14"/>
  <c r="K71" i="14"/>
  <c r="J71" i="14"/>
  <c r="I71" i="14"/>
  <c r="H71" i="14"/>
  <c r="G71" i="14"/>
  <c r="F71" i="14"/>
  <c r="E71" i="14"/>
  <c r="D71" i="14"/>
  <c r="C71" i="14"/>
  <c r="O70" i="14"/>
  <c r="O69" i="14"/>
  <c r="O68" i="14"/>
  <c r="O67" i="14"/>
  <c r="O66" i="14"/>
  <c r="O65" i="14"/>
  <c r="O64" i="14"/>
  <c r="O63" i="14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N41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6" i="22"/>
  <c r="N35" i="22"/>
  <c r="N34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N29" i="22"/>
  <c r="N26" i="22"/>
  <c r="N25" i="22"/>
  <c r="N24" i="22"/>
  <c r="N23" i="22"/>
  <c r="N22" i="22"/>
  <c r="N21" i="22"/>
  <c r="N20" i="22"/>
  <c r="N19" i="22"/>
  <c r="N18" i="22"/>
  <c r="N13" i="22"/>
  <c r="N12" i="22"/>
  <c r="N11" i="22"/>
  <c r="N10" i="22"/>
  <c r="N9" i="22"/>
  <c r="N8" i="22"/>
  <c r="N7" i="22"/>
  <c r="N6" i="22"/>
  <c r="N5" i="22"/>
  <c r="N4" i="22"/>
  <c r="N3" i="22"/>
  <c r="O94" i="14"/>
  <c r="O93" i="14"/>
  <c r="O92" i="14"/>
  <c r="O91" i="14"/>
  <c r="O90" i="14"/>
  <c r="O89" i="14"/>
  <c r="O88" i="14"/>
  <c r="N95" i="14"/>
  <c r="M95" i="14"/>
  <c r="L95" i="14"/>
  <c r="K95" i="14"/>
  <c r="J95" i="14"/>
  <c r="I95" i="14"/>
  <c r="H95" i="14"/>
  <c r="G95" i="14"/>
  <c r="F95" i="14"/>
  <c r="E95" i="14"/>
  <c r="D95" i="14"/>
  <c r="C95" i="14"/>
  <c r="O58" i="14"/>
  <c r="O57" i="14"/>
  <c r="O56" i="14"/>
  <c r="O55" i="14"/>
  <c r="O54" i="14"/>
  <c r="O53" i="14"/>
  <c r="O52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O34" i="14"/>
  <c r="O33" i="14"/>
  <c r="O32" i="14"/>
  <c r="O31" i="14"/>
  <c r="O30" i="14"/>
  <c r="O29" i="14"/>
  <c r="O28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O22" i="14"/>
  <c r="O21" i="14"/>
  <c r="O20" i="14"/>
  <c r="O19" i="14"/>
  <c r="O18" i="14"/>
  <c r="O17" i="14"/>
  <c r="O16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O10" i="14"/>
  <c r="O9" i="14"/>
  <c r="O8" i="14"/>
  <c r="O7" i="14"/>
  <c r="O6" i="14"/>
  <c r="O5" i="14"/>
  <c r="O4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87" i="14"/>
  <c r="O51" i="14"/>
  <c r="O3" i="14"/>
  <c r="O27" i="14"/>
  <c r="O15" i="14"/>
  <c r="B15" i="18"/>
  <c r="C15" i="18"/>
  <c r="D15" i="18"/>
  <c r="E15" i="18"/>
  <c r="F15" i="18"/>
  <c r="G15" i="18"/>
  <c r="H15" i="18"/>
  <c r="I15" i="18"/>
  <c r="J15" i="18"/>
  <c r="K15" i="18"/>
  <c r="L15" i="18"/>
  <c r="M15" i="18"/>
  <c r="C6" i="17"/>
  <c r="M6" i="17"/>
  <c r="L6" i="17"/>
  <c r="K6" i="17"/>
  <c r="J6" i="17"/>
  <c r="I6" i="17"/>
  <c r="G6" i="17"/>
  <c r="F6" i="17"/>
  <c r="E6" i="17"/>
  <c r="D6" i="17"/>
  <c r="B6" i="17"/>
  <c r="N5" i="17"/>
  <c r="N4" i="17"/>
  <c r="H8" i="1"/>
  <c r="H18" i="1" s="1"/>
  <c r="G8" i="1"/>
  <c r="G18" i="1" s="1"/>
  <c r="N5" i="1"/>
  <c r="N6" i="1"/>
  <c r="N4" i="1"/>
  <c r="N13" i="1"/>
  <c r="B8" i="1"/>
  <c r="B18" i="1" s="1"/>
  <c r="C8" i="1"/>
  <c r="C18" i="1" s="1"/>
  <c r="D8" i="1"/>
  <c r="D18" i="1"/>
  <c r="E8" i="1"/>
  <c r="E18" i="1" s="1"/>
  <c r="F8" i="1"/>
  <c r="F18" i="1" s="1"/>
  <c r="I8" i="1"/>
  <c r="I18" i="1" s="1"/>
  <c r="J8" i="1"/>
  <c r="J18" i="1" s="1"/>
  <c r="K8" i="1"/>
  <c r="K18" i="1" s="1"/>
  <c r="L8" i="1"/>
  <c r="L18" i="1" s="1"/>
  <c r="M8" i="1"/>
  <c r="M18" i="1" s="1"/>
  <c r="M11" i="6"/>
  <c r="L11" i="6"/>
  <c r="K11" i="6"/>
  <c r="J11" i="6"/>
  <c r="F11" i="6"/>
  <c r="C11" i="6"/>
  <c r="B11" i="6"/>
  <c r="N9" i="6"/>
  <c r="N8" i="6"/>
  <c r="N7" i="6"/>
  <c r="N6" i="6"/>
  <c r="G11" i="6"/>
  <c r="E11" i="6"/>
  <c r="D11" i="6"/>
  <c r="N5" i="6"/>
  <c r="I11" i="6"/>
  <c r="H11" i="6"/>
  <c r="N3" i="6"/>
  <c r="N125" i="25" l="1"/>
  <c r="N43" i="22"/>
  <c r="N116" i="25"/>
  <c r="N127" i="25"/>
  <c r="N131" i="25"/>
  <c r="O35" i="14"/>
  <c r="P27" i="14" s="1"/>
  <c r="N106" i="25"/>
  <c r="O95" i="14"/>
  <c r="P91" i="14" s="1"/>
  <c r="O11" i="14"/>
  <c r="P8" i="14" s="1"/>
  <c r="N101" i="25"/>
  <c r="N108" i="25"/>
  <c r="N110" i="25"/>
  <c r="N130" i="25"/>
  <c r="O71" i="14"/>
  <c r="P66" i="14" s="1"/>
  <c r="N14" i="26"/>
  <c r="O8" i="26" s="1"/>
  <c r="N126" i="25"/>
  <c r="O83" i="14"/>
  <c r="P77" i="14" s="1"/>
  <c r="O23" i="14"/>
  <c r="P16" i="14" s="1"/>
  <c r="N11" i="17"/>
  <c r="O9" i="17" s="1"/>
  <c r="N61" i="26"/>
  <c r="O57" i="26" s="1"/>
  <c r="N140" i="25"/>
  <c r="N134" i="25"/>
  <c r="O47" i="14"/>
  <c r="P45" i="14" s="1"/>
  <c r="N6" i="17"/>
  <c r="O5" i="17" s="1"/>
  <c r="N58" i="5"/>
  <c r="O52" i="5" s="1"/>
  <c r="N37" i="22"/>
  <c r="N89" i="25"/>
  <c r="N92" i="25"/>
  <c r="N133" i="25"/>
  <c r="N12" i="23"/>
  <c r="N70" i="5"/>
  <c r="O64" i="5" s="1"/>
  <c r="N47" i="5"/>
  <c r="O41" i="5" s="1"/>
  <c r="N35" i="5"/>
  <c r="O28" i="5" s="1"/>
  <c r="N11" i="5"/>
  <c r="O9" i="5" s="1"/>
  <c r="N53" i="26"/>
  <c r="O51" i="26" s="1"/>
  <c r="N30" i="22"/>
  <c r="N8" i="1"/>
  <c r="N129" i="25"/>
  <c r="N138" i="25"/>
  <c r="N141" i="25"/>
  <c r="N105" i="25"/>
  <c r="N153" i="25" s="1"/>
  <c r="N128" i="25"/>
  <c r="N103" i="25"/>
  <c r="N151" i="25" s="1"/>
  <c r="N104" i="25"/>
  <c r="O59" i="14"/>
  <c r="P56" i="14" s="1"/>
  <c r="N15" i="18"/>
  <c r="N38" i="23"/>
  <c r="N25" i="23"/>
  <c r="N11" i="6"/>
  <c r="N24" i="5"/>
  <c r="O21" i="5" s="1"/>
  <c r="O36" i="26"/>
  <c r="N32" i="26"/>
  <c r="O28" i="26" s="1"/>
  <c r="N18" i="1"/>
  <c r="N146" i="25"/>
  <c r="N94" i="25"/>
  <c r="N93" i="25"/>
  <c r="N142" i="25"/>
  <c r="N90" i="25"/>
  <c r="N95" i="25"/>
  <c r="N97" i="25"/>
  <c r="N91" i="25"/>
  <c r="N144" i="25"/>
  <c r="N137" i="25"/>
  <c r="N145" i="25"/>
  <c r="N102" i="25"/>
  <c r="N150" i="25" s="1"/>
  <c r="N143" i="25"/>
  <c r="N107" i="25"/>
  <c r="N139" i="25"/>
  <c r="N132" i="25"/>
  <c r="N98" i="25"/>
  <c r="N109" i="25"/>
  <c r="N96" i="25"/>
  <c r="O17" i="5" l="1"/>
  <c r="N152" i="25"/>
  <c r="N149" i="25"/>
  <c r="P34" i="14"/>
  <c r="P31" i="14"/>
  <c r="P28" i="14"/>
  <c r="P32" i="14"/>
  <c r="P33" i="14"/>
  <c r="P30" i="14"/>
  <c r="P29" i="14"/>
  <c r="O58" i="26"/>
  <c r="O59" i="26"/>
  <c r="P89" i="14"/>
  <c r="P88" i="14"/>
  <c r="P94" i="14"/>
  <c r="P87" i="14"/>
  <c r="P90" i="14"/>
  <c r="P93" i="14"/>
  <c r="P92" i="14"/>
  <c r="P3" i="14"/>
  <c r="P5" i="14"/>
  <c r="P9" i="14"/>
  <c r="P4" i="14"/>
  <c r="P10" i="14"/>
  <c r="P6" i="14"/>
  <c r="P7" i="14"/>
  <c r="P65" i="14"/>
  <c r="P64" i="14"/>
  <c r="P68" i="14"/>
  <c r="P69" i="14"/>
  <c r="P67" i="14"/>
  <c r="P70" i="14"/>
  <c r="P63" i="14"/>
  <c r="P42" i="14"/>
  <c r="P17" i="14"/>
  <c r="P19" i="14"/>
  <c r="P21" i="14"/>
  <c r="P22" i="14"/>
  <c r="O31" i="5"/>
  <c r="O32" i="5"/>
  <c r="O10" i="26"/>
  <c r="O12" i="26"/>
  <c r="O13" i="26"/>
  <c r="O9" i="26"/>
  <c r="O11" i="26"/>
  <c r="P81" i="14"/>
  <c r="P75" i="14"/>
  <c r="P82" i="14"/>
  <c r="P79" i="14"/>
  <c r="P78" i="14"/>
  <c r="P80" i="14"/>
  <c r="P76" i="14"/>
  <c r="P41" i="14"/>
  <c r="P44" i="14"/>
  <c r="P39" i="14"/>
  <c r="P40" i="14"/>
  <c r="P46" i="14"/>
  <c r="P20" i="14"/>
  <c r="P15" i="14"/>
  <c r="P18" i="14"/>
  <c r="O10" i="17"/>
  <c r="O4" i="17"/>
  <c r="O6" i="17" s="1"/>
  <c r="O54" i="5"/>
  <c r="O51" i="5"/>
  <c r="O60" i="26"/>
  <c r="P43" i="14"/>
  <c r="O66" i="5"/>
  <c r="O63" i="5"/>
  <c r="O57" i="5"/>
  <c r="O53" i="5"/>
  <c r="O55" i="5"/>
  <c r="O56" i="5"/>
  <c r="O34" i="5"/>
  <c r="O29" i="5"/>
  <c r="O33" i="5"/>
  <c r="O8" i="5"/>
  <c r="O30" i="26"/>
  <c r="O65" i="5"/>
  <c r="O69" i="5"/>
  <c r="O68" i="5"/>
  <c r="O67" i="5"/>
  <c r="O45" i="5"/>
  <c r="O42" i="5"/>
  <c r="O40" i="5"/>
  <c r="O44" i="5"/>
  <c r="O43" i="5"/>
  <c r="O46" i="5"/>
  <c r="O30" i="5"/>
  <c r="O22" i="5"/>
  <c r="O18" i="5"/>
  <c r="O4" i="5"/>
  <c r="O5" i="5"/>
  <c r="O10" i="5"/>
  <c r="O23" i="5"/>
  <c r="O20" i="5"/>
  <c r="O19" i="5"/>
  <c r="O7" i="5"/>
  <c r="O6" i="5"/>
  <c r="O46" i="26"/>
  <c r="O49" i="26"/>
  <c r="O45" i="26"/>
  <c r="O43" i="26"/>
  <c r="O42" i="26"/>
  <c r="O52" i="26"/>
  <c r="O44" i="26"/>
  <c r="O47" i="26"/>
  <c r="O48" i="26"/>
  <c r="O50" i="26"/>
  <c r="P53" i="14"/>
  <c r="P58" i="14"/>
  <c r="P51" i="14"/>
  <c r="P52" i="14"/>
  <c r="P54" i="14"/>
  <c r="P57" i="14"/>
  <c r="P55" i="14"/>
  <c r="O29" i="26"/>
  <c r="O31" i="26"/>
  <c r="O58" i="5" l="1"/>
  <c r="O35" i="5"/>
  <c r="O47" i="5"/>
  <c r="O24" i="5"/>
</calcChain>
</file>

<file path=xl/sharedStrings.xml><?xml version="1.0" encoding="utf-8"?>
<sst xmlns="http://schemas.openxmlformats.org/spreadsheetml/2006/main" count="2446" uniqueCount="410">
  <si>
    <t>UNIDADE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</si>
  <si>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</si>
  <si>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</si>
  <si>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</si>
  <si>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</si>
  <si>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</si>
  <si>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</si>
  <si>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</si>
  <si>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</si>
  <si>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</si>
  <si>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</si>
  <si>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</si>
  <si>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</si>
  <si>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HU-UNIVASF</t>
  </si>
  <si>
    <t>PRIMEIRO ANDAR</t>
  </si>
  <si>
    <t>SEGUNDO ANDAR</t>
  </si>
  <si>
    <t>TERCEIRO ANDAR</t>
  </si>
  <si>
    <t>UTI ADULTO</t>
  </si>
  <si>
    <t>Número de Leitos-dia (Operacionais) [Fonte: AGHU]</t>
  </si>
  <si>
    <t>Média de Pacientes-dia [Fonte: AGHU]</t>
  </si>
  <si>
    <t>Média de Permanência [Fonte: AGHU]</t>
  </si>
  <si>
    <t>Taxa de Ocupação Operacional [Fontes: AGHU]</t>
  </si>
  <si>
    <t>Índice de Renovação [Fontes: AGHU]</t>
  </si>
  <si>
    <t>Consultas Ambulatoriais / Atendimentos de Emergência / Reabilitação (Fonte: AGHU)</t>
  </si>
  <si>
    <t>Consultas/Atendimentos Realizados</t>
  </si>
  <si>
    <t>Tipo de Atendimento</t>
  </si>
  <si>
    <t>Atendimentos de Urgência/Emergência</t>
  </si>
  <si>
    <t>Atendimentos de Reabilitação</t>
  </si>
  <si>
    <t>Censo Diário (Fonte: AGHU)</t>
  </si>
  <si>
    <t>Internações Hospitalares</t>
  </si>
  <si>
    <t>Entradas</t>
  </si>
  <si>
    <t>Total de Consultas/Atendimentos/Internações</t>
  </si>
  <si>
    <t>Ambulatorial + Urgência/Emergência + Censo</t>
  </si>
  <si>
    <t>Atendimentos</t>
  </si>
  <si>
    <t>Total</t>
  </si>
  <si>
    <t>Especialidades</t>
  </si>
  <si>
    <t>Cirurgia e Traumatologia Buco Maxilo Facial</t>
  </si>
  <si>
    <t>Cirurgia Geral</t>
  </si>
  <si>
    <t>Cirurgia Plástica</t>
  </si>
  <si>
    <t>Cirurgia Vascular</t>
  </si>
  <si>
    <t>Neurocirurgia</t>
  </si>
  <si>
    <t>Ortopedia e Traumatologia</t>
  </si>
  <si>
    <t>Urologia</t>
  </si>
  <si>
    <t>Não Informado</t>
  </si>
  <si>
    <t>Procedimentos com finalidade diagnóstica [Fontes: Relatórios dos Setores e AGHU]</t>
  </si>
  <si>
    <t>Exames</t>
  </si>
  <si>
    <t>Laboratório Clínico</t>
  </si>
  <si>
    <t>Ultrassonografia</t>
  </si>
  <si>
    <t>Tomografia</t>
  </si>
  <si>
    <t>Ressonância Magnética</t>
  </si>
  <si>
    <t>Endocospia</t>
  </si>
  <si>
    <t>Radiologia Intervencionista</t>
  </si>
  <si>
    <t>PRODUÇÃO DA UNIDADE DE ATENÇÃO PSICOSSOCIAL - HU-UNIVASF</t>
  </si>
  <si>
    <t>Psicologia</t>
  </si>
  <si>
    <t>Serviço Social</t>
  </si>
  <si>
    <r>
      <t xml:space="preserve">REGULAÇÃO DE PACIENTES DO HU-UNIVASF </t>
    </r>
    <r>
      <rPr>
        <b/>
        <sz val="11"/>
        <color theme="0"/>
        <rFont val="Calibri"/>
        <family val="2"/>
        <scheme val="minor"/>
      </rPr>
      <t>[Fonte: Relatório do Setor]</t>
    </r>
  </si>
  <si>
    <t>SITUAÇÃO</t>
  </si>
  <si>
    <t>APROVADO</t>
  </si>
  <si>
    <r>
      <t xml:space="preserve">REGULAÇÃO DE PACIENTES PARA O HU-UNIVASF </t>
    </r>
    <r>
      <rPr>
        <b/>
        <sz val="11"/>
        <color theme="0"/>
        <rFont val="Calibri"/>
        <family val="2"/>
        <scheme val="minor"/>
      </rPr>
      <t>[Fonte: AGHU]</t>
    </r>
  </si>
  <si>
    <t>REGULADO</t>
  </si>
  <si>
    <t>VAGA ZERO</t>
  </si>
  <si>
    <t>Município</t>
  </si>
  <si>
    <t>UF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</si>
  <si>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</si>
  <si>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</si>
  <si>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</si>
  <si>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</si>
  <si>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</si>
  <si>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</si>
  <si>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</si>
  <si>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</si>
  <si>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</si>
  <si>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</si>
  <si>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</si>
  <si>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</si>
  <si>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PETROLINA</t>
  </si>
  <si>
    <t>PE</t>
  </si>
  <si>
    <t>JUAZEIRO</t>
  </si>
  <si>
    <t>BA</t>
  </si>
  <si>
    <t>XX</t>
  </si>
  <si>
    <t>ATT</t>
  </si>
  <si>
    <t>Nº de ATT's</t>
  </si>
  <si>
    <t>SEXO</t>
  </si>
  <si>
    <t>Masculino</t>
  </si>
  <si>
    <t>Feminino</t>
  </si>
  <si>
    <t>Ignorado</t>
  </si>
  <si>
    <t>NATUREZA DO ACIDENTE</t>
  </si>
  <si>
    <t>Colisão/Abalroamento</t>
  </si>
  <si>
    <t>Atropelamento</t>
  </si>
  <si>
    <t>Tombamento/Capotamento</t>
  </si>
  <si>
    <t>Queda em/do Veículo</t>
  </si>
  <si>
    <t>Choque com objeto fixo</t>
  </si>
  <si>
    <t xml:space="preserve">Ignorado </t>
  </si>
  <si>
    <t>Outro</t>
  </si>
  <si>
    <t>FATORES RELACIONADOS AO ACIDENTE (* Mais de um fator pode estar envolvido em um mesmo acidente)</t>
  </si>
  <si>
    <t>FATORES RELACIONADOS AO ACIDENTE</t>
  </si>
  <si>
    <t>Excesso de Velocidade</t>
  </si>
  <si>
    <t>Condutor sem habilitação</t>
  </si>
  <si>
    <t>Vítima sem cinto de segurança</t>
  </si>
  <si>
    <t>Vítima sem capacete</t>
  </si>
  <si>
    <t>Uso de bebida alcoolica pelo condutor</t>
  </si>
  <si>
    <t>FAIXA ETÁRIA (ANOS)</t>
  </si>
  <si>
    <t>00 - 09</t>
  </si>
  <si>
    <t>10 - 19</t>
  </si>
  <si>
    <t>20 - 39</t>
  </si>
  <si>
    <t>40 - 59</t>
  </si>
  <si>
    <r>
      <rPr>
        <sz val="8"/>
        <rFont val="Calibri"/>
        <family val="2"/>
      </rPr>
      <t xml:space="preserve">≥ </t>
    </r>
    <r>
      <rPr>
        <sz val="8"/>
        <rFont val="Calibri"/>
        <family val="2"/>
        <scheme val="minor"/>
      </rPr>
      <t>60</t>
    </r>
  </si>
  <si>
    <t>DIA DA SEMANA DO ACIDENTE</t>
  </si>
  <si>
    <t>Segunda</t>
  </si>
  <si>
    <t>Terça</t>
  </si>
  <si>
    <t>Quarta</t>
  </si>
  <si>
    <t xml:space="preserve"> </t>
  </si>
  <si>
    <t>Quinta</t>
  </si>
  <si>
    <t>Sexta</t>
  </si>
  <si>
    <t>Sabado</t>
  </si>
  <si>
    <t>Domingo</t>
  </si>
  <si>
    <t>ACIDENTE RELACIONADO AO TRABALHO</t>
  </si>
  <si>
    <t>Durante o Serviço/Trabalho</t>
  </si>
  <si>
    <t>Indo/Voltando do Trabalho</t>
  </si>
  <si>
    <t>Não Relacionado</t>
  </si>
  <si>
    <t>Não se Aplica</t>
  </si>
  <si>
    <t>MEIO DE LOCOMOÇÃO</t>
  </si>
  <si>
    <t>A pé</t>
  </si>
  <si>
    <t>Automovel</t>
  </si>
  <si>
    <t>Motocicleta</t>
  </si>
  <si>
    <t>Bicicleta</t>
  </si>
  <si>
    <t>Outros</t>
  </si>
  <si>
    <t>OUTRA PARTE ENVOLVIDA NO ACIDENTE</t>
  </si>
  <si>
    <t>Onibus/Similar</t>
  </si>
  <si>
    <t>Objeto Fixo</t>
  </si>
  <si>
    <t>Animal</t>
  </si>
  <si>
    <t>Veiculo Pesado</t>
  </si>
  <si>
    <t>Pedestre</t>
  </si>
  <si>
    <t>Óbito</t>
  </si>
  <si>
    <t>OUTROS (REDE_PEBA)</t>
  </si>
  <si>
    <t>OUTROS</t>
  </si>
  <si>
    <t>ESPECIALIDADES</t>
  </si>
  <si>
    <t>ANESTESIOLOGIA</t>
  </si>
  <si>
    <t>CARDIOLOGIA</t>
  </si>
  <si>
    <t>CIRURGIA DA MÃO</t>
  </si>
  <si>
    <t>CIRURGIA E TRAUMATOLOGIA BUCO MAXILO FACIAIS</t>
  </si>
  <si>
    <t>CIRURGIA GERAL</t>
  </si>
  <si>
    <t>CIRURGIA PLÁSTICA</t>
  </si>
  <si>
    <t>CIRURGIA VASCULAR</t>
  </si>
  <si>
    <t>CLÍNICA MÉDICA</t>
  </si>
  <si>
    <t>DERMATOLOGIA</t>
  </si>
  <si>
    <t>ENDOCRINOLOGIA E METABOLOGIA</t>
  </si>
  <si>
    <t>GASTROENTEROLOGIA</t>
  </si>
  <si>
    <t>HEMATOLOGIA E HEMOTERAPIA</t>
  </si>
  <si>
    <t>INFECTOLOGIA</t>
  </si>
  <si>
    <t>NEFROLOGIA</t>
  </si>
  <si>
    <t>NEUROCIRURGIA</t>
  </si>
  <si>
    <t>NEUROLOGIA</t>
  </si>
  <si>
    <t>UROLOGIA</t>
  </si>
  <si>
    <t>ORTOPEDIA E TRAUMATOLOGIA</t>
  </si>
  <si>
    <t>OTORRINOLARINGOLOGIA</t>
  </si>
  <si>
    <t>REUMATOLOGIA</t>
  </si>
  <si>
    <t>EMERGENCIA - CIRURGIA GERAL</t>
  </si>
  <si>
    <t>EMERGENCIA - CLÍNICA MÉDICA</t>
  </si>
  <si>
    <t>EMERGENCIA - ORTOPEDIA E TRAUMATOLOGIA</t>
  </si>
  <si>
    <t>EDUCACAO FISICA</t>
  </si>
  <si>
    <t>FISIOTERAPIA</t>
  </si>
  <si>
    <r>
      <t xml:space="preserve">Número de Saídas - Geral </t>
    </r>
    <r>
      <rPr>
        <b/>
        <sz val="10"/>
        <color theme="0"/>
        <rFont val="Calibri"/>
        <family val="2"/>
        <scheme val="minor"/>
      </rPr>
      <t>(Externas + Internas)</t>
    </r>
    <r>
      <rPr>
        <b/>
        <sz val="14"/>
        <color theme="0"/>
        <rFont val="Calibri"/>
        <family val="2"/>
        <scheme val="minor"/>
      </rPr>
      <t xml:space="preserve"> [Fonte: AGHU]</t>
    </r>
  </si>
  <si>
    <r>
      <t xml:space="preserve">Número de Saídas - Externas </t>
    </r>
    <r>
      <rPr>
        <b/>
        <sz val="10"/>
        <color theme="0"/>
        <rFont val="Calibri"/>
        <family val="2"/>
        <scheme val="minor"/>
      </rPr>
      <t>(Alta Médica, Evasão, Desistência de Tratamento, Óbito e Transferência Externa)</t>
    </r>
    <r>
      <rPr>
        <b/>
        <sz val="14"/>
        <color theme="0"/>
        <rFont val="Calibri"/>
        <family val="2"/>
        <scheme val="minor"/>
      </rPr>
      <t xml:space="preserve"> [Fonte: AGHU]</t>
    </r>
  </si>
  <si>
    <r>
      <t xml:space="preserve">Número de Saídas - Internas </t>
    </r>
    <r>
      <rPr>
        <b/>
        <sz val="10"/>
        <color theme="0"/>
        <rFont val="Calibri"/>
        <family val="2"/>
        <scheme val="minor"/>
      </rPr>
      <t>(Transferência Interna)</t>
    </r>
    <r>
      <rPr>
        <b/>
        <sz val="14"/>
        <color theme="0"/>
        <rFont val="Calibri"/>
        <family val="2"/>
        <scheme val="minor"/>
      </rPr>
      <t xml:space="preserve"> [Fonte: AGHU]</t>
    </r>
  </si>
  <si>
    <t>SALA DE MEDICAÇÃO</t>
  </si>
  <si>
    <t>SALA DE OBSERVAÇÃO DA URGÊNCIA E EMERGÊNCIA</t>
  </si>
  <si>
    <t>SALA DE CUIDADOS INTERMEDIÁRIOS</t>
  </si>
  <si>
    <t>SALA DE EMERGÊNCIA</t>
  </si>
  <si>
    <t>GINECOLOGIA E OBSTETRÍCIA</t>
  </si>
  <si>
    <t>MEDICINA DO TRABALHO</t>
  </si>
  <si>
    <t>PEDIATRIA</t>
  </si>
  <si>
    <t>PSIQUIATRIA</t>
  </si>
  <si>
    <t>Veiculo de Tração/Animal Montado</t>
  </si>
  <si>
    <t>Outra</t>
  </si>
  <si>
    <t>EVOLUÇÃO EM 72 HORAS DO ATENDIMENTO NO SERVIÇO</t>
  </si>
  <si>
    <t>EVOLUÇÃO EM ATÉ 72 HORAS DO ATENDIMENTO</t>
  </si>
  <si>
    <t>Alta Hospitalar</t>
  </si>
  <si>
    <t>Alta com Encaminhamento Ambulatorial</t>
  </si>
  <si>
    <t>Internação Hospitalar</t>
  </si>
  <si>
    <t>Transferência para outra unidade de saúde</t>
  </si>
  <si>
    <t>Evasão / fuga</t>
  </si>
  <si>
    <t>PARTE/REGIÃO DO CORPO ATINGIDA</t>
  </si>
  <si>
    <t>Cabeça</t>
  </si>
  <si>
    <t>Face</t>
  </si>
  <si>
    <t>Pescoço</t>
  </si>
  <si>
    <t>Coluna/medula</t>
  </si>
  <si>
    <t>Tórax/Dorso</t>
  </si>
  <si>
    <t>Abdome</t>
  </si>
  <si>
    <t>Quadril</t>
  </si>
  <si>
    <t>Membros superiores</t>
  </si>
  <si>
    <t>Membros inferiores</t>
  </si>
  <si>
    <t>Múltiplos órgãos</t>
  </si>
  <si>
    <t>Em branco</t>
  </si>
  <si>
    <t>NATUREZA DA LESÃO</t>
  </si>
  <si>
    <t>Fratura</t>
  </si>
  <si>
    <t>Amputação Traumatica</t>
  </si>
  <si>
    <t>Traumatismo cranioencefálico</t>
  </si>
  <si>
    <t>Lesões de orgãos internos</t>
  </si>
  <si>
    <t>Politraumatismo</t>
  </si>
  <si>
    <t>Queimadura</t>
  </si>
  <si>
    <t>Corte/Laceração</t>
  </si>
  <si>
    <t>Torção/Luxação</t>
  </si>
  <si>
    <t>Radiologia (Procedimentos)</t>
  </si>
  <si>
    <t>AMBULATÓRIO</t>
  </si>
  <si>
    <t>Consultas Ambulatoriais</t>
  </si>
  <si>
    <t>DESCRIÇÃO</t>
  </si>
  <si>
    <t>ATENDIMENTOS</t>
  </si>
  <si>
    <t>PSICOLOGIA</t>
  </si>
  <si>
    <t>ENFERMAGEM EM ESTOMATERAPIA</t>
  </si>
  <si>
    <t>DEMANDA ESPONTÂNEA</t>
  </si>
  <si>
    <t>BLOCO CIRÚRGICO</t>
  </si>
  <si>
    <t>ESPECIALIDADE</t>
  </si>
  <si>
    <t>SERVIÇO SOCIAL</t>
  </si>
  <si>
    <t>Número de Internações [Fonte: AGHU]</t>
  </si>
  <si>
    <t>BRANCO</t>
  </si>
  <si>
    <t>URGENTE</t>
  </si>
  <si>
    <t>EMERGENTE</t>
  </si>
  <si>
    <t>MEIOS_PRÓPRIOS</t>
  </si>
  <si>
    <t>SAMU</t>
  </si>
  <si>
    <t>CORPO_BOMBEIROS</t>
  </si>
  <si>
    <t>MASCULINO</t>
  </si>
  <si>
    <t>FEMININO</t>
  </si>
  <si>
    <t>20 - 29</t>
  </si>
  <si>
    <t>30 - 39</t>
  </si>
  <si>
    <t>40 - 49</t>
  </si>
  <si>
    <t>50 - 59</t>
  </si>
  <si>
    <t>60 - 69</t>
  </si>
  <si>
    <t>70 - 79</t>
  </si>
  <si>
    <t>80 - 89</t>
  </si>
  <si>
    <t>90 - 99</t>
  </si>
  <si>
    <t>≥ 100</t>
  </si>
  <si>
    <t>MANHÃ</t>
  </si>
  <si>
    <t>TARDE</t>
  </si>
  <si>
    <t>NOITE</t>
  </si>
  <si>
    <t>MADRUGADA</t>
  </si>
  <si>
    <t>NÃO URGENTE</t>
  </si>
  <si>
    <t>POUCO URGENTE</t>
  </si>
  <si>
    <t>MUITO URGENTE</t>
  </si>
  <si>
    <t>Número de Pacientes-dia [Fonte: AGHU]</t>
  </si>
  <si>
    <t>PNEUMOLOGIA</t>
  </si>
  <si>
    <t>2019</t>
  </si>
  <si>
    <t>Número de Pacientes Atendidos (2019)</t>
  </si>
  <si>
    <t>Prioridade Clínica (2019)</t>
  </si>
  <si>
    <t>2019 [%]</t>
  </si>
  <si>
    <t>Prioridade Clínica - Tempo médio para Atendimento (minutos) (2019)</t>
  </si>
  <si>
    <t>Transporte (2019)</t>
  </si>
  <si>
    <t>Sexo (2019)</t>
  </si>
  <si>
    <t>Idade (2019)</t>
  </si>
  <si>
    <t>Horário de Atendimento (2019)</t>
  </si>
  <si>
    <t>ATOS CIRÚRGICOS (2019)</t>
  </si>
  <si>
    <t>ATOS CIRÚRGICOS REALIZADOS (2019) [Fonte: AGHU]</t>
  </si>
  <si>
    <t>2019 (%)</t>
  </si>
  <si>
    <t>PROCEDIMENTOS CIRÚRGICOS (2019)</t>
  </si>
  <si>
    <t>PROCEDIMENTOS CIRÚRGICOS REALIZADOS (2019) [Fonte: AGHU]</t>
  </si>
  <si>
    <t>ATOS CIRÚRGICOS ELETIVOS REALIZADOS (2019) [Fonte: AGHU]</t>
  </si>
  <si>
    <t>PROCEDIMENTOS CIRÚRGICOS ELETIVOS REALIZADOS (2019) [Fonte: AGHU]</t>
  </si>
  <si>
    <t>ATOS CIRÚRGICOS DE URGÊNCIA REALIZADOS (2019) [Fonte: AGHU]</t>
  </si>
  <si>
    <t>PROCEDIMENTOS CIRÚRGICOS DE URGÊNCIA REALIZADOS (2019) [Fonte: AGHU]</t>
  </si>
  <si>
    <t>Número de Atendimentos (2019) [Fonte: SGD - Serviço Social e Psicologia]</t>
  </si>
  <si>
    <t>Total de Evoluções Psicossociais (2019) [Fonte: AGHU]</t>
  </si>
  <si>
    <t>Atendimento Hospitalar  - Fisioterapia (2019)</t>
  </si>
  <si>
    <t>Atendimento Hospitalar  - Terapia Ocupacional (2019)</t>
  </si>
  <si>
    <t>Atendimento Hospitalar  - Fonoaudiologia (2019)</t>
  </si>
  <si>
    <t>Atendimento Hospitalar  - Nutrição (2019) [Fonte: AGHU]</t>
  </si>
  <si>
    <t>NÚMERO DE SOLICITAÇÕES FINALIZADAS (2019)</t>
  </si>
  <si>
    <t>NÚMERO DE SOLICITAÇÕES (2019)</t>
  </si>
  <si>
    <t>Total de Internações Hospitalares no HU-UNIVASF por Municípios em 2019 [Fonte: AGHU]</t>
  </si>
  <si>
    <t>Total de Internações Hospitalares de Urgência/Emergência no HU-UNIVASF por Municípios em 2019 [Fonte: AGHU]</t>
  </si>
  <si>
    <t>Total de Internações Hospitalares Eletivas no HU-UNIVASF por Municípios em 2019 [Fonte: AGHU]</t>
  </si>
  <si>
    <t>Total de Internações Hospitalares Acidentes de Trabalho no HU-UNIVASF por Municípios em 2019 [Fonte: AGHU]</t>
  </si>
  <si>
    <t>Total de Consultas Ambulatoriais no HU-UNIVASF por Municípios em 2019 [Fonte: AGHU]</t>
  </si>
  <si>
    <t>Total de Consultas Ambulatoriais na Policlinica do HU-UNIVASF por Municípios em 2019 [Fonte: AGHU]</t>
  </si>
  <si>
    <t>Total de Consultas Ambulatoriais de Reabilitação no HU-UNIVASF por Municípios em 2019 [Fonte: AGHU]</t>
  </si>
  <si>
    <t>Total de Atendimentos de Urgência/Emergência no HU-UNIVASF por Municípios em 2019 [Fonte: AGHU]</t>
  </si>
  <si>
    <t>ACIDENTES DE TRANSPORTE TERRESTRE (ATT) - 2019 [Fonte: Sinatt]</t>
  </si>
  <si>
    <t xml:space="preserve"> 2.019 </t>
  </si>
  <si>
    <t>ACIDENTES DE TRANSPORTE TERRESTRE (ATT) - MOTO - 2019 [Fonte: Sinatt]</t>
  </si>
  <si>
    <t/>
  </si>
  <si>
    <t xml:space="preserve"> 9,7 </t>
  </si>
  <si>
    <t xml:space="preserve"> 8,1 </t>
  </si>
  <si>
    <t>PRÁTICAS INTEGRATIVAS E COMPLEMENTARES</t>
  </si>
  <si>
    <t xml:space="preserve"> 9,5 </t>
  </si>
  <si>
    <t>SERVIÇO MÓVEL DE URGÊNCIA</t>
  </si>
  <si>
    <t xml:space="preserve"> 11,9 </t>
  </si>
  <si>
    <r>
      <t xml:space="preserve">Situação das AIH's faturadas (2019) </t>
    </r>
    <r>
      <rPr>
        <b/>
        <sz val="10"/>
        <color theme="0"/>
        <rFont val="Calibri"/>
        <family val="2"/>
        <scheme val="minor"/>
      </rPr>
      <t>[Fonte: DATASUS]</t>
    </r>
  </si>
  <si>
    <t>SITUAÇÃO AIH</t>
  </si>
  <si>
    <t>2019[%]</t>
  </si>
  <si>
    <t>Aprovada</t>
  </si>
  <si>
    <t>Rejeitada</t>
  </si>
  <si>
    <r>
      <t xml:space="preserve">Dias de Permanência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</si>
  <si>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Média de Permanência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</si>
  <si>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Óbitos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</si>
  <si>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Valor dos Serviços Hospitalares (SH) faturados nas AIH's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</si>
  <si>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Valor dos Serviços Profissionais (SP) faturados nas AIH's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</si>
  <si>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Valor Total (SH+SP) das AIH's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</si>
  <si>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Valor Médio (SH+SP) das AIH's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</si>
  <si>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Valor dos Serviços Ambulatoriais (SA) faturados nas AIH's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</si>
  <si>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Valor de UTI faturados nas AIH's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</si>
  <si>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Valor de financiamento FAEC faturados nas AIH's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</si>
  <si>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Motivo da Rejeição (2019) </t>
    </r>
    <r>
      <rPr>
        <b/>
        <sz val="10"/>
        <color theme="0"/>
        <rFont val="Calibri"/>
        <family val="2"/>
        <scheme val="minor"/>
      </rPr>
      <t>[Fonte: DATASUS]</t>
    </r>
  </si>
  <si>
    <t>COD</t>
  </si>
  <si>
    <t>Motivo</t>
  </si>
  <si>
    <r>
      <t xml:space="preserve">Dias de Permanência - Motivo da Rejeição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</si>
  <si>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Média de Permanência - Motivo da Rejeição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</si>
  <si>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Óbitos - Motivo da Rejeição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</si>
  <si>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Valor dos Serviços Hospitalares (SH) - Motivo da Rejeição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</si>
  <si>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Valor dos Serviços Profissionais (SP) - Motivo da Rejeição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</si>
  <si>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Valor Total (SH+SP) - Motivo da Rejeição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</si>
  <si>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Valor Médio (SH+SP) - Motivo da Rejeição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</si>
  <si>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Valor dos Serviços Ambulatoriais (SA) - Motivo da Rejeição (2019) </t>
    </r>
    <r>
      <rPr>
        <b/>
        <sz val="10"/>
        <color theme="0"/>
        <rFont val="Calibri"/>
        <family val="2"/>
        <scheme val="minor"/>
      </rPr>
      <t>[Fonte: DATASUS]</t>
    </r>
  </si>
  <si>
    <r>
      <t xml:space="preserve">Valor de UTI - Motivo da Rejeição (2019) </t>
    </r>
    <r>
      <rPr>
        <b/>
        <sz val="10"/>
        <color theme="0"/>
        <rFont val="Calibri"/>
        <family val="2"/>
        <scheme val="minor"/>
      </rPr>
      <t>[Fonte: DATASUS]</t>
    </r>
  </si>
  <si>
    <t xml:space="preserve"> 5,54 </t>
  </si>
  <si>
    <t xml:space="preserve"> 6,79 </t>
  </si>
  <si>
    <t xml:space="preserve"> 6,67 </t>
  </si>
  <si>
    <t xml:space="preserve"> 6,04 </t>
  </si>
  <si>
    <t xml:space="preserve">  </t>
  </si>
  <si>
    <t xml:space="preserve"> R$ 944,08 </t>
  </si>
  <si>
    <t xml:space="preserve"> R$ 1.100,48 </t>
  </si>
  <si>
    <t xml:space="preserve"> R$ 1.164,54 </t>
  </si>
  <si>
    <t xml:space="preserve"> R$ 1.050,68 </t>
  </si>
  <si>
    <t xml:space="preserve"> 13,22 </t>
  </si>
  <si>
    <t xml:space="preserve"> 14,70 </t>
  </si>
  <si>
    <t xml:space="preserve"> 11,85 </t>
  </si>
  <si>
    <t xml:space="preserve"> 22,63 </t>
  </si>
  <si>
    <t xml:space="preserve"> R$ 2.158,53 </t>
  </si>
  <si>
    <t xml:space="preserve"> R$ 2.192,83 </t>
  </si>
  <si>
    <t xml:space="preserve"> R$ 1.850,96 </t>
  </si>
  <si>
    <t xml:space="preserve"> R$ 3.919,31 </t>
  </si>
  <si>
    <t>FATURAMENTO - DATASUS - SIH - APRESENTAÇÃO</t>
  </si>
  <si>
    <t>AIH COM DATA DA SAIDA ANTERIOR A QUATRO MESES DA APRESENTAÇÃO</t>
  </si>
  <si>
    <t>HOSPITAL NÃO POSSUI O SERVICO/CLASSIFICACAO EXIGIDOS</t>
  </si>
  <si>
    <t>QUANTIDADE DE DIÁRIAS SUPERIOR A CAPACIDADE INSTALADA</t>
  </si>
  <si>
    <t>PROCEDIMENTO REALIZADO EXIGE HABILITAÇÃO</t>
  </si>
  <si>
    <t xml:space="preserve"> 12,7 </t>
  </si>
  <si>
    <t xml:space="preserve"> R$ 1.030,13 </t>
  </si>
  <si>
    <t xml:space="preserve"> R$ 1.804,12 </t>
  </si>
  <si>
    <t xml:space="preserve"> 6,03 </t>
  </si>
  <si>
    <t>Diagnóstico em Cardiologia</t>
  </si>
  <si>
    <t>APROVADO TOTAL</t>
  </si>
  <si>
    <t>APROVADO PARCIAL</t>
  </si>
  <si>
    <t>NÃO APROVADO</t>
  </si>
  <si>
    <t>GRUPO</t>
  </si>
  <si>
    <t>01 - Ações de promoção e prevenção em saúde</t>
  </si>
  <si>
    <t>02 - Procedimentos com finalidade diagnóstica</t>
  </si>
  <si>
    <t>03 - Procedimentos clínicos</t>
  </si>
  <si>
    <t>04 - Procedimentos cirúrgicos</t>
  </si>
  <si>
    <t>01.01 - Ações coletivas/individuais em saúde</t>
  </si>
  <si>
    <t>02.01 - Coleta de material</t>
  </si>
  <si>
    <t>02.02 - Diagnóstico em laboratório clínico</t>
  </si>
  <si>
    <t>02.04 - Diagnóstico por radiologia</t>
  </si>
  <si>
    <t>02.05 - Diagnóstico por ultra-sonografia</t>
  </si>
  <si>
    <t>02.06 - Diagnóstico por tomografia</t>
  </si>
  <si>
    <t>02.11 - Métodos diagnósticos em especialidades</t>
  </si>
  <si>
    <t>03.01 - Consultas / Atendimentos / Acompanhamentos</t>
  </si>
  <si>
    <t>03.02 - Fisioterapia</t>
  </si>
  <si>
    <t>03.03 - Tratamentos clínicos (outras especialidades)</t>
  </si>
  <si>
    <t>03.09 - Terapias especializadas</t>
  </si>
  <si>
    <t>04.01 - Pequenas cirurgias e cirurgias de pele, tecido subcutâneo e mucosa</t>
  </si>
  <si>
    <t>04.08 - Cirurgia do sistema osteomuscular</t>
  </si>
  <si>
    <t>04.15 - Outras cirurgias</t>
  </si>
  <si>
    <r>
      <t>PROCEDIMENTOS AMBULATORIAS (2019)</t>
    </r>
    <r>
      <rPr>
        <b/>
        <sz val="10"/>
        <color theme="0"/>
        <rFont val="Calibri"/>
        <family val="2"/>
        <scheme val="minor"/>
      </rPr>
      <t xml:space="preserve"> [Fonte: DATASUS]</t>
    </r>
    <r>
      <rPr>
        <b/>
        <sz val="14"/>
        <color theme="0"/>
        <rFont val="Calibri"/>
        <family val="2"/>
        <scheme val="minor"/>
      </rPr>
      <t xml:space="preserve"> | APRESENTAÇÃO</t>
    </r>
  </si>
  <si>
    <t>Número de Leitos-dia (Instalados) [Fonte: GESTÃO]</t>
  </si>
  <si>
    <t>Taxa de Ocupação Hospitalar [Fontes: AGHU e GESTÃO]</t>
  </si>
  <si>
    <t>Índice do Intervalo de Substituição [Fontes: AGHU e GESTÃO]</t>
  </si>
  <si>
    <t xml:space="preserve"> 6,84 </t>
  </si>
  <si>
    <t xml:space="preserve"> 12,28 </t>
  </si>
  <si>
    <t xml:space="preserve"> 14,12 </t>
  </si>
  <si>
    <t xml:space="preserve"> R$ 2.364,56 </t>
  </si>
  <si>
    <t xml:space="preserve"> 13,7 </t>
  </si>
  <si>
    <t xml:space="preserve"> 8,6 </t>
  </si>
  <si>
    <t xml:space="preserve"> 6,43 </t>
  </si>
  <si>
    <t xml:space="preserve"> R$ 1.254,23 </t>
  </si>
  <si>
    <t xml:space="preserve"> R$ 1.248,29 </t>
  </si>
  <si>
    <t xml:space="preserve"> 12,45 </t>
  </si>
  <si>
    <t xml:space="preserve"> R$ 2.338,57 </t>
  </si>
  <si>
    <t xml:space="preserve"> 12,4 </t>
  </si>
  <si>
    <t xml:space="preserve"> 7,68 </t>
  </si>
  <si>
    <t xml:space="preserve"> R$ 1.128,13 </t>
  </si>
  <si>
    <t xml:space="preserve"> R$ 2.414,88 </t>
  </si>
  <si>
    <t>Situação da Produção</t>
  </si>
  <si>
    <t>Situação da Produção / Valor Produzido</t>
  </si>
  <si>
    <t>Grupos de Procedimentos da Produção Ambulatorial</t>
  </si>
  <si>
    <t>Grupos de Procedimentos da Produção Ambulatorial / Valor Produzido</t>
  </si>
  <si>
    <t>Sub-Grupos de Procedimentos da Produção Ambulatorial</t>
  </si>
  <si>
    <t>Sub-Grupos de Procedimentos da Produção Ambulatorial / Valor Produzido</t>
  </si>
  <si>
    <t>Consultas Ambulatoriais (Fonte: AGHU)</t>
  </si>
  <si>
    <t>Atendimentos de Urgência/Emergência (Fonte: AGHU)</t>
  </si>
  <si>
    <t>Atendimentos de Reabilitação (Fonte: AGHU)</t>
  </si>
  <si>
    <t>Atendimentos em Práticas Integrativas e Complementares (Fonte: Relatório do setor)</t>
  </si>
  <si>
    <t xml:space="preserve"> 7,24 </t>
  </si>
  <si>
    <t xml:space="preserve"> 6,58 </t>
  </si>
  <si>
    <t xml:space="preserve"> R$ 1.079,84 </t>
  </si>
  <si>
    <t xml:space="preserve"> 14,08 </t>
  </si>
  <si>
    <t xml:space="preserve"> 25,82 </t>
  </si>
  <si>
    <t xml:space="preserve"> R$ 1.898,21 </t>
  </si>
  <si>
    <t xml:space="preserve"> 8,8 </t>
  </si>
  <si>
    <t xml:space="preserve"> R$ 1.059,82 </t>
  </si>
  <si>
    <t xml:space="preserve"> R$ 1.760,42 </t>
  </si>
  <si>
    <t>HEMODINÂMICA E CARDIOLOGIA INTERVENCIONISTA</t>
  </si>
  <si>
    <t>Práticas integrativas e complementares</t>
  </si>
  <si>
    <t xml:space="preserve"> 7,4 </t>
  </si>
  <si>
    <t xml:space="preserve"> 10,3 </t>
  </si>
  <si>
    <t xml:space="preserve"> 6,63 </t>
  </si>
  <si>
    <t xml:space="preserve"> R$ 1.065,24 </t>
  </si>
  <si>
    <t xml:space="preserve"> R$ 1.103,32 </t>
  </si>
  <si>
    <t xml:space="preserve"> 14,42 </t>
  </si>
  <si>
    <t xml:space="preserve"> 14,22 </t>
  </si>
  <si>
    <t xml:space="preserve"> R$ 1.904,22 </t>
  </si>
  <si>
    <t xml:space="preserve"> R$ 2.099,15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</si>
</sst>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_-* #,##0.0%_-;\-* #,##0.0%_-;_-* &quot;-&quot;??_-;_-@_-"/>
    <numFmt numFmtId="168" formatCode="_-* #,##0.0_-;[Red]* \-\ #,##0.0_-;_-* &quot;-&quot;??_-;_-@_-"/>
    <numFmt numFmtId="169" formatCode="_-* #,##0.0_-;\-* #,##0.0_-;_-* &quot;-&quot;_-;_-@_-"/>
    <numFmt numFmtId="170" formatCode="_-* #,##0.00%_-;\-* #,##0.00%_-;_-* &quot;-&quot;??_-;_-@_-"/>
  </numFmts>
  <fonts count="3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scheme val="minor"/>
    </font>
    <font>
      <b/>
      <sz val="8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/>
      <top style="thin">
        <color theme="0"/>
      </top>
      <bottom/>
      <diagonal/>
    </border>
    <border>
      <left style="double">
        <color theme="0"/>
      </left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double">
        <color theme="0"/>
      </left>
      <right/>
      <top style="thick">
        <color theme="0"/>
      </top>
      <bottom/>
      <diagonal/>
    </border>
    <border>
      <left/>
      <right style="double">
        <color theme="0"/>
      </right>
      <top style="thick">
        <color theme="0"/>
      </top>
      <bottom/>
      <diagonal/>
    </border>
    <border>
      <left/>
      <right style="double">
        <color theme="0"/>
      </right>
      <top/>
      <bottom/>
      <diagonal/>
    </border>
    <border>
      <left/>
      <right/>
      <top style="thick">
        <color theme="0"/>
      </top>
      <bottom style="thin">
        <color theme="0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164" fontId="2" fillId="0" borderId="5" xfId="1" applyNumberFormat="1" applyFont="1" applyBorder="1"/>
    <xf numFmtId="41" fontId="2" fillId="0" borderId="0" xfId="0" applyNumberFormat="1" applyFont="1"/>
    <xf numFmtId="0" fontId="2" fillId="0" borderId="4" xfId="0" applyNumberFormat="1" applyFont="1" applyBorder="1" applyAlignment="1">
      <alignment horizontal="center"/>
    </xf>
    <xf numFmtId="165" fontId="4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41" fontId="4" fillId="0" borderId="0" xfId="0" applyNumberFormat="1" applyFont="1"/>
    <xf numFmtId="10" fontId="4" fillId="0" borderId="0" xfId="1" applyNumberFormat="1" applyFont="1"/>
    <xf numFmtId="44" fontId="2" fillId="0" borderId="0" xfId="2" applyFont="1"/>
    <xf numFmtId="44" fontId="4" fillId="0" borderId="0" xfId="2" applyFont="1"/>
    <xf numFmtId="0" fontId="5" fillId="0" borderId="0" xfId="0" applyFont="1"/>
    <xf numFmtId="41" fontId="5" fillId="0" borderId="0" xfId="0" applyNumberFormat="1" applyFont="1"/>
    <xf numFmtId="165" fontId="4" fillId="0" borderId="5" xfId="0" applyNumberFormat="1" applyFont="1" applyBorder="1"/>
    <xf numFmtId="0" fontId="2" fillId="0" borderId="5" xfId="0" applyFont="1" applyBorder="1"/>
    <xf numFmtId="0" fontId="11" fillId="0" borderId="0" xfId="0" applyFont="1"/>
    <xf numFmtId="41" fontId="11" fillId="0" borderId="0" xfId="0" applyNumberFormat="1" applyFont="1"/>
    <xf numFmtId="165" fontId="11" fillId="0" borderId="0" xfId="0" applyNumberFormat="1" applyFont="1"/>
    <xf numFmtId="167" fontId="2" fillId="0" borderId="0" xfId="1" applyNumberFormat="1" applyFont="1"/>
    <xf numFmtId="166" fontId="2" fillId="0" borderId="0" xfId="1" applyNumberFormat="1" applyFont="1"/>
    <xf numFmtId="166" fontId="4" fillId="0" borderId="0" xfId="0" applyNumberFormat="1" applyFont="1"/>
    <xf numFmtId="167" fontId="4" fillId="0" borderId="0" xfId="1" applyNumberFormat="1" applyFont="1"/>
    <xf numFmtId="166" fontId="4" fillId="0" borderId="0" xfId="1" applyNumberFormat="1" applyFont="1"/>
    <xf numFmtId="41" fontId="12" fillId="0" borderId="0" xfId="0" applyNumberFormat="1" applyFont="1"/>
    <xf numFmtId="0" fontId="4" fillId="0" borderId="4" xfId="0" applyFont="1" applyBorder="1"/>
    <xf numFmtId="164" fontId="4" fillId="0" borderId="5" xfId="1" applyNumberFormat="1" applyFont="1" applyBorder="1"/>
    <xf numFmtId="0" fontId="5" fillId="0" borderId="0" xfId="0" applyFont="1" applyFill="1" applyBorder="1"/>
    <xf numFmtId="0" fontId="10" fillId="0" borderId="0" xfId="0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/>
    <xf numFmtId="41" fontId="14" fillId="0" borderId="0" xfId="0" applyNumberFormat="1" applyFont="1"/>
    <xf numFmtId="10" fontId="14" fillId="0" borderId="0" xfId="1" applyNumberFormat="1" applyFont="1"/>
    <xf numFmtId="0" fontId="12" fillId="0" borderId="0" xfId="0" applyFont="1"/>
    <xf numFmtId="0" fontId="15" fillId="0" borderId="0" xfId="0" applyFont="1"/>
    <xf numFmtId="41" fontId="15" fillId="0" borderId="0" xfId="0" applyNumberFormat="1" applyFont="1"/>
    <xf numFmtId="41" fontId="16" fillId="0" borderId="0" xfId="0" applyNumberFormat="1" applyFont="1"/>
    <xf numFmtId="165" fontId="15" fillId="0" borderId="0" xfId="0" applyNumberFormat="1" applyFont="1"/>
    <xf numFmtId="165" fontId="16" fillId="0" borderId="5" xfId="0" applyNumberFormat="1" applyFont="1" applyBorder="1"/>
    <xf numFmtId="165" fontId="17" fillId="0" borderId="0" xfId="0" applyNumberFormat="1" applyFont="1" applyFill="1" applyBorder="1"/>
    <xf numFmtId="0" fontId="17" fillId="0" borderId="0" xfId="0" applyFont="1" applyFill="1" applyAlignment="1">
      <alignment wrapText="1"/>
    </xf>
    <xf numFmtId="0" fontId="18" fillId="0" borderId="0" xfId="0" applyFont="1"/>
    <xf numFmtId="0" fontId="19" fillId="0" borderId="0" xfId="0" applyFont="1"/>
    <xf numFmtId="165" fontId="19" fillId="0" borderId="0" xfId="0" applyNumberFormat="1" applyFont="1"/>
    <xf numFmtId="0" fontId="20" fillId="0" borderId="0" xfId="0" applyFont="1"/>
    <xf numFmtId="41" fontId="20" fillId="0" borderId="0" xfId="0" applyNumberFormat="1" applyFont="1"/>
    <xf numFmtId="41" fontId="21" fillId="0" borderId="0" xfId="0" applyNumberFormat="1" applyFont="1"/>
    <xf numFmtId="165" fontId="20" fillId="0" borderId="0" xfId="0" applyNumberFormat="1" applyFont="1"/>
    <xf numFmtId="0" fontId="22" fillId="0" borderId="0" xfId="0" applyFont="1"/>
    <xf numFmtId="41" fontId="22" fillId="0" borderId="0" xfId="0" applyNumberFormat="1" applyFont="1"/>
    <xf numFmtId="41" fontId="23" fillId="0" borderId="0" xfId="0" applyNumberFormat="1" applyFont="1"/>
    <xf numFmtId="164" fontId="4" fillId="0" borderId="0" xfId="1" applyNumberFormat="1" applyFont="1"/>
    <xf numFmtId="168" fontId="2" fillId="0" borderId="0" xfId="1" applyNumberFormat="1" applyFont="1"/>
    <xf numFmtId="168" fontId="4" fillId="0" borderId="0" xfId="1" applyNumberFormat="1" applyFont="1"/>
    <xf numFmtId="0" fontId="24" fillId="0" borderId="0" xfId="0" applyFont="1"/>
    <xf numFmtId="165" fontId="24" fillId="0" borderId="0" xfId="0" applyNumberFormat="1" applyFont="1"/>
    <xf numFmtId="165" fontId="25" fillId="0" borderId="0" xfId="0" applyNumberFormat="1" applyFont="1"/>
    <xf numFmtId="166" fontId="24" fillId="0" borderId="0" xfId="0" applyNumberFormat="1" applyFont="1"/>
    <xf numFmtId="166" fontId="25" fillId="0" borderId="0" xfId="0" applyNumberFormat="1" applyFont="1"/>
    <xf numFmtId="167" fontId="24" fillId="0" borderId="0" xfId="1" applyNumberFormat="1" applyFont="1"/>
    <xf numFmtId="167" fontId="25" fillId="0" borderId="0" xfId="1" applyNumberFormat="1" applyFont="1"/>
    <xf numFmtId="166" fontId="24" fillId="0" borderId="0" xfId="1" applyNumberFormat="1" applyFont="1"/>
    <xf numFmtId="166" fontId="25" fillId="0" borderId="0" xfId="1" applyNumberFormat="1" applyFont="1"/>
    <xf numFmtId="41" fontId="26" fillId="0" borderId="0" xfId="0" applyNumberFormat="1" applyFont="1"/>
    <xf numFmtId="165" fontId="26" fillId="0" borderId="0" xfId="0" applyNumberFormat="1" applyFont="1"/>
    <xf numFmtId="0" fontId="26" fillId="0" borderId="0" xfId="0" applyFont="1" applyAlignment="1">
      <alignment horizontal="left"/>
    </xf>
    <xf numFmtId="164" fontId="26" fillId="0" borderId="0" xfId="0" applyNumberFormat="1" applyFont="1"/>
    <xf numFmtId="169" fontId="2" fillId="0" borderId="0" xfId="0" applyNumberFormat="1" applyFont="1"/>
    <xf numFmtId="169" fontId="4" fillId="0" borderId="0" xfId="0" applyNumberFormat="1" applyFont="1"/>
    <xf numFmtId="49" fontId="2" fillId="0" borderId="0" xfId="0" applyNumberFormat="1" applyFont="1"/>
    <xf numFmtId="49" fontId="27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4" fontId="2" fillId="0" borderId="0" xfId="0" applyNumberFormat="1" applyFont="1"/>
    <xf numFmtId="0" fontId="28" fillId="0" borderId="0" xfId="0" applyFont="1"/>
    <xf numFmtId="41" fontId="28" fillId="0" borderId="0" xfId="0" applyNumberFormat="1" applyFont="1"/>
    <xf numFmtId="41" fontId="29" fillId="0" borderId="0" xfId="0" applyNumberFormat="1" applyFont="1"/>
    <xf numFmtId="165" fontId="30" fillId="0" borderId="0" xfId="0" applyNumberFormat="1" applyFont="1" applyFill="1" applyBorder="1"/>
    <xf numFmtId="0" fontId="31" fillId="0" borderId="0" xfId="0" applyFont="1" applyFill="1"/>
    <xf numFmtId="165" fontId="31" fillId="0" borderId="0" xfId="0" applyNumberFormat="1" applyFont="1" applyFill="1" applyBorder="1"/>
    <xf numFmtId="165" fontId="14" fillId="0" borderId="0" xfId="0" applyNumberFormat="1" applyFont="1" applyFill="1" applyBorder="1"/>
    <xf numFmtId="0" fontId="7" fillId="0" borderId="0" xfId="0" applyFont="1" applyFill="1" applyBorder="1"/>
    <xf numFmtId="165" fontId="10" fillId="0" borderId="0" xfId="0" applyNumberFormat="1" applyFont="1" applyFill="1" applyBorder="1"/>
    <xf numFmtId="0" fontId="10" fillId="0" borderId="0" xfId="0" applyFont="1" applyFill="1"/>
    <xf numFmtId="0" fontId="14" fillId="0" borderId="0" xfId="0" applyFont="1" applyFill="1" applyBorder="1"/>
    <xf numFmtId="0" fontId="10" fillId="0" borderId="12" xfId="0" applyFont="1" applyFill="1" applyBorder="1"/>
    <xf numFmtId="0" fontId="5" fillId="0" borderId="12" xfId="0" applyFont="1" applyFill="1" applyBorder="1"/>
    <xf numFmtId="0" fontId="10" fillId="0" borderId="0" xfId="0" applyFont="1" applyFill="1" applyAlignment="1">
      <alignment horizontal="left"/>
    </xf>
    <xf numFmtId="165" fontId="7" fillId="0" borderId="0" xfId="0" applyNumberFormat="1" applyFont="1" applyFill="1" applyBorder="1"/>
    <xf numFmtId="165" fontId="7" fillId="0" borderId="12" xfId="0" applyNumberFormat="1" applyFont="1" applyFill="1" applyBorder="1" applyAlignment="1"/>
    <xf numFmtId="165" fontId="7" fillId="0" borderId="0" xfId="0" applyNumberFormat="1" applyFont="1" applyFill="1" applyBorder="1" applyAlignment="1"/>
    <xf numFmtId="167" fontId="14" fillId="0" borderId="0" xfId="0" applyNumberFormat="1" applyFont="1" applyFill="1" applyBorder="1"/>
    <xf numFmtId="167" fontId="7" fillId="0" borderId="0" xfId="0" applyNumberFormat="1" applyFont="1" applyFill="1" applyBorder="1"/>
    <xf numFmtId="167" fontId="7" fillId="0" borderId="12" xfId="0" applyNumberFormat="1" applyFont="1" applyFill="1" applyBorder="1"/>
    <xf numFmtId="0" fontId="7" fillId="0" borderId="0" xfId="0" applyNumberFormat="1" applyFont="1" applyFill="1" applyBorder="1"/>
    <xf numFmtId="165" fontId="32" fillId="0" borderId="0" xfId="0" applyNumberFormat="1" applyFont="1" applyFill="1" applyBorder="1"/>
    <xf numFmtId="0" fontId="10" fillId="0" borderId="0" xfId="0" applyFont="1" applyFill="1" applyAlignment="1">
      <alignment wrapText="1"/>
    </xf>
    <xf numFmtId="41" fontId="10" fillId="0" borderId="0" xfId="0" applyNumberFormat="1" applyFont="1" applyFill="1" applyBorder="1"/>
    <xf numFmtId="167" fontId="32" fillId="0" borderId="0" xfId="0" applyNumberFormat="1" applyFont="1" applyFill="1" applyBorder="1"/>
    <xf numFmtId="0" fontId="2" fillId="0" borderId="13" xfId="0" applyFont="1" applyBorder="1"/>
    <xf numFmtId="0" fontId="2" fillId="0" borderId="12" xfId="0" applyFont="1" applyBorder="1"/>
    <xf numFmtId="0" fontId="2" fillId="0" borderId="14" xfId="0" applyFont="1" applyBorder="1"/>
    <xf numFmtId="41" fontId="2" fillId="0" borderId="5" xfId="0" applyNumberFormat="1" applyFont="1" applyBorder="1"/>
    <xf numFmtId="41" fontId="2" fillId="0" borderId="0" xfId="0" applyNumberFormat="1" applyFont="1" applyBorder="1"/>
    <xf numFmtId="41" fontId="2" fillId="0" borderId="15" xfId="0" applyNumberFormat="1" applyFont="1" applyBorder="1"/>
    <xf numFmtId="0" fontId="14" fillId="0" borderId="0" xfId="0" applyFont="1"/>
    <xf numFmtId="0" fontId="33" fillId="0" borderId="0" xfId="0" applyFont="1"/>
    <xf numFmtId="41" fontId="33" fillId="0" borderId="0" xfId="0" applyNumberFormat="1" applyFont="1"/>
    <xf numFmtId="41" fontId="34" fillId="0" borderId="0" xfId="0" applyNumberFormat="1" applyFont="1"/>
    <xf numFmtId="165" fontId="33" fillId="0" borderId="0" xfId="0" applyNumberFormat="1" applyFont="1"/>
    <xf numFmtId="0" fontId="34" fillId="0" borderId="0" xfId="0" applyFont="1"/>
    <xf numFmtId="43" fontId="2" fillId="0" borderId="0" xfId="2" applyNumberFormat="1" applyFont="1"/>
    <xf numFmtId="43" fontId="4" fillId="0" borderId="0" xfId="2" applyNumberFormat="1" applyFont="1"/>
    <xf numFmtId="43" fontId="2" fillId="0" borderId="0" xfId="0" applyNumberFormat="1" applyFont="1"/>
    <xf numFmtId="167" fontId="34" fillId="0" borderId="0" xfId="1" applyNumberFormat="1" applyFont="1"/>
    <xf numFmtId="43" fontId="4" fillId="0" borderId="0" xfId="0" applyNumberFormat="1" applyFont="1"/>
    <xf numFmtId="43" fontId="33" fillId="0" borderId="0" xfId="0" applyNumberFormat="1" applyFont="1"/>
    <xf numFmtId="44" fontId="34" fillId="0" borderId="0" xfId="2" applyFont="1"/>
    <xf numFmtId="44" fontId="33" fillId="0" borderId="0" xfId="0" applyNumberFormat="1" applyFont="1"/>
    <xf numFmtId="44" fontId="2" fillId="0" borderId="0" xfId="0" applyNumberFormat="1" applyFont="1"/>
    <xf numFmtId="165" fontId="34" fillId="0" borderId="5" xfId="0" applyNumberFormat="1" applyFont="1" applyBorder="1"/>
    <xf numFmtId="165" fontId="33" fillId="0" borderId="5" xfId="0" applyNumberFormat="1" applyFont="1" applyBorder="1"/>
    <xf numFmtId="170" fontId="4" fillId="0" borderId="0" xfId="0" applyNumberFormat="1" applyFont="1"/>
    <xf numFmtId="44" fontId="34" fillId="0" borderId="0" xfId="0" applyNumberFormat="1" applyFont="1"/>
    <xf numFmtId="43" fontId="33" fillId="0" borderId="0" xfId="0" applyNumberFormat="1" applyFont="1" applyAlignment="1">
      <alignment horizontal="right"/>
    </xf>
    <xf numFmtId="44" fontId="33" fillId="0" borderId="0" xfId="0" applyNumberFormat="1" applyFont="1" applyAlignment="1">
      <alignment horizontal="right"/>
    </xf>
    <xf numFmtId="41" fontId="33" fillId="0" borderId="5" xfId="0" applyNumberFormat="1" applyFont="1" applyBorder="1"/>
    <xf numFmtId="41" fontId="33" fillId="0" borderId="0" xfId="0" applyNumberFormat="1" applyFont="1" applyBorder="1"/>
    <xf numFmtId="41" fontId="33" fillId="0" borderId="15" xfId="0" applyNumberFormat="1" applyFont="1" applyBorder="1"/>
    <xf numFmtId="169" fontId="33" fillId="0" borderId="0" xfId="0" applyNumberFormat="1" applyFont="1" applyAlignment="1">
      <alignment horizontal="right"/>
    </xf>
    <xf numFmtId="0" fontId="33" fillId="0" borderId="0" xfId="0" applyFont="1" applyAlignment="1">
      <alignment horizontal="left"/>
    </xf>
    <xf numFmtId="164" fontId="34" fillId="0" borderId="0" xfId="0" applyNumberFormat="1" applyFont="1"/>
    <xf numFmtId="165" fontId="33" fillId="0" borderId="0" xfId="0" applyNumberFormat="1" applyFont="1" applyAlignment="1">
      <alignment horizontal="right"/>
    </xf>
    <xf numFmtId="165" fontId="34" fillId="0" borderId="0" xfId="0" applyNumberFormat="1" applyFont="1" applyAlignment="1">
      <alignment horizontal="right"/>
    </xf>
    <xf numFmtId="164" fontId="34" fillId="0" borderId="5" xfId="0" applyNumberFormat="1" applyFont="1" applyBorder="1" applyAlignment="1">
      <alignment horizontal="right"/>
    </xf>
    <xf numFmtId="3" fontId="33" fillId="0" borderId="0" xfId="0" applyNumberFormat="1" applyFont="1" applyAlignment="1">
      <alignment horizontal="right"/>
    </xf>
    <xf numFmtId="164" fontId="33" fillId="0" borderId="5" xfId="0" applyNumberFormat="1" applyFont="1" applyBorder="1" applyAlignment="1">
      <alignment horizontal="right"/>
    </xf>
    <xf numFmtId="0" fontId="3" fillId="5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3051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_-* #,##0.0%_-;\-* #,##0.0%_-;_-* &quot;-&quot;??_-;_-@_-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5" formatCode="_-* #,##0_-;\-* #,##0_-;_-* &quot;-&quot;??_-;_-@_-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_-* #,##0.0%_-;\-* #,##0.0%_-;_-* &quot;-&quot;??_-;_-@_-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5" formatCode="_-* #,##0_-;\-* #,##0_-;_-* &quot;-&quot;??_-;_-@_-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_-* #,##0.0%_-;\-* #,##0.0%_-;_-* &quot;-&quot;??_-;_-@_-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5" formatCode="_-* #,##0_-;\-* #,##0_-;_-* &quot;-&quot;??_-;_-@_-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_-* #,##0.0%_-;\-* #,##0.0%_-;_-* &quot;-&quot;??_-;_-@_-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5" formatCode="_-* #,##0_-;\-* #,##0_-;_-* &quot;-&quot;??_-;_-@_-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5" formatCode="_-* #,##0_-;\-* #,##0_-;_-* &quot;-&quot;??_-;_-@_-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_-* #,##0.0%_-;\-* #,##0.0%_-;_-* &quot;-&quot;??_-;_-@_-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5" formatCode="_-* #,##0_-;\-* #,##0_-;_-* &quot;-&quot;??_-;_-@_-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_-* #,##0.0%_-;\-* #,##0.0%_-;_-* &quot;-&quot;??_-;_-@_-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5" formatCode="_-* #,##0_-;\-* #,##0_-;_-* &quot;-&quot;??_-;_-@_-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5" formatCode="_-* #,##0_-;\-* #,##0_-;_-* &quot;-&quot;??_-;_-@_-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_-* #,##0.0%_-;\-* #,##0.0%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70" formatCode="_-* #,##0.00%_-;\-* #,##0.00%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70" formatCode="_-* #,##0.00%_-;\-* #,##0.00%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70" formatCode="_-* #,##0.00%_-;\-* #,##0.00%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70" formatCode="_-* #,##0.00%_-;\-* #,##0.00%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70" formatCode="_-* #,##0.00%_-;\-* #,##0.00%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70" formatCode="_-* #,##0.00%_-;\-* #,##0.00%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70" formatCode="_-* #,##0.00%_-;\-* #,##0.00%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70" formatCode="_-* #,##0.00%_-;\-* #,##0.00%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70" formatCode="_-* #,##0.00%_-;\-* #,##0.00%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70" formatCode="_-* #,##0.00%_-;\-* #,##0.00%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70" formatCode="_-* #,##0.00%_-;\-* #,##0.00%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70" formatCode="_-* #,##0.00%_-;\-* #,##0.00%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double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  <border diagonalUp="0" diagonalDown="0">
        <left style="double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border diagonalUp="0" diagonalDown="0" outline="0">
        <left style="double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border diagonalUp="0" diagonalDown="0">
        <left style="double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double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_-* #,##0.0_-;\-* #,##0.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  <border diagonalUp="0" diagonalDown="0" outline="0">
        <left/>
        <right style="double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  <border diagonalUp="0" diagonalDown="0" outline="0">
        <left/>
        <right style="double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  <border diagonalUp="0" diagonalDown="0" outline="0">
        <left style="double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  <border diagonalUp="0" diagonalDown="0" outline="0">
        <left style="double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8" formatCode="_-* #,##0.0_-;[Red]* \-\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8" formatCode="_-* #,##0.0_-;[Red]* \-\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8" formatCode="_-* #,##0.0_-;[Red]* \-\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8" formatCode="_-* #,##0.0_-;[Red]* \-\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8" formatCode="_-* #,##0.0_-;[Red]* \-\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8" formatCode="_-* #,##0.0_-;[Red]* \-\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8" formatCode="_-* #,##0.0_-;[Red]* \-\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8" formatCode="_-* #,##0.0_-;[Red]* \-\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8" formatCode="_-* #,##0.0_-;[Red]* \-\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8" formatCode="_-* #,##0.0_-;[Red]* \-\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8" formatCode="_-* #,##0.0_-;[Red]* \-\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8" formatCode="_-* #,##0.0_-;[Red]* \-\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C6E0B4"/>
          <bgColor rgb="FFC6E0B4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E2EFDA"/>
          <bgColor rgb="FFE2EFDA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14" defaultPivotStyle="PivotStyleLight16">
    <tableStyle name="TableStyleMedium14 2" pivot="0" count="7">
      <tableStyleElement type="wholeTable" dxfId="3050"/>
      <tableStyleElement type="headerRow" dxfId="3049"/>
      <tableStyleElement type="totalRow" dxfId="3048"/>
      <tableStyleElement type="firstColumn" dxfId="3047"/>
      <tableStyleElement type="lastColumn" dxfId="3046"/>
      <tableStyleElement type="firstRowStripe" dxfId="3045"/>
      <tableStyleElement type="firstColumnStripe" dxfId="3044"/>
    </tableStyle>
  </tableStyles>
  <colors>
    <mruColors>
      <color rgb="FF66FFFF"/>
      <color rgb="FF6600CC"/>
      <color rgb="FF462300"/>
      <color rgb="FF6633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159</xdr:row>
      <xdr:rowOff>19050</xdr:rowOff>
    </xdr:from>
    <xdr:to>
      <xdr:col>11</xdr:col>
      <xdr:colOff>337425</xdr:colOff>
      <xdr:row>205</xdr:row>
      <xdr:rowOff>7800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404425"/>
          <a:ext cx="8748000" cy="6561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5" name="PacDia" displayName="PacDia" ref="A3:N13" totalsRowShown="0" headerRowDxfId="3043" dataDxfId="3042">
  <autoFilter ref="A3:N13"/>
  <tableColumns count="14">
    <tableColumn id="1" name="UNIDADE" dataDxfId="3041"/>
    <tableColumn id="2" name="JAN" dataDxfId="3040"/>
    <tableColumn id="3" name="FEV" dataDxfId="3039"/>
    <tableColumn id="4" name="MAR" dataDxfId="3038"/>
    <tableColumn id="5" name="ABR" dataDxfId="3037"/>
    <tableColumn id="6" name="MAI" dataDxfId="3036"/>
    <tableColumn id="7" name="JUN" dataDxfId="3035"/>
    <tableColumn id="8" name="JUL" dataDxfId="3034"/>
    <tableColumn id="9" name="AGO" dataDxfId="3033"/>
    <tableColumn id="10" name="SET" dataDxfId="3032"/>
    <tableColumn id="11" name="OUT" dataDxfId="3031"/>
    <tableColumn id="12" name="NOV" dataDxfId="3030"/>
    <tableColumn id="13" name="DEZ" dataDxfId="3029"/>
    <tableColumn id="14" name="2019" dataDxfId="3028">
      <calculatedColumnFormula>SUM(PacDia[[#This Row],[JAN]:[DEZ]])</calculatedColumnFormula>
    </tableColumn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id="73" name="nI" displayName="nI" ref="A15:N25" totalsRowShown="0" headerRowDxfId="2899" dataDxfId="2898">
  <autoFilter ref="A15:N25"/>
  <tableColumns count="14">
    <tableColumn id="1" name="UNIDADE" dataDxfId="2897"/>
    <tableColumn id="2" name="JAN" dataDxfId="2896"/>
    <tableColumn id="3" name="FEV" dataDxfId="2895"/>
    <tableColumn id="4" name="MAR" dataDxfId="2894"/>
    <tableColumn id="5" name="ABR" dataDxfId="2893"/>
    <tableColumn id="6" name="MAI" dataDxfId="2892"/>
    <tableColumn id="7" name="JUN" dataDxfId="2891"/>
    <tableColumn id="8" name="JUL" dataDxfId="2890"/>
    <tableColumn id="9" name="AGO" dataDxfId="2889"/>
    <tableColumn id="10" name="SET" dataDxfId="2888"/>
    <tableColumn id="11" name="OUT" dataDxfId="2887"/>
    <tableColumn id="12" name="NOV" dataDxfId="2886"/>
    <tableColumn id="13" name="DEZ" dataDxfId="2885"/>
    <tableColumn id="14" name="2019" dataDxfId="2884">
      <calculatedColumnFormula>SUM(nI[[#This Row],[JAN]:[DEZ]])</calculatedColumnFormula>
    </tableColumn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57" name="FE_M" displayName="FE_M" ref="A28:O34" totalsRowCount="1" headerRowDxfId="165" dataDxfId="164" totalsRowDxfId="162" tableBorderDxfId="163">
  <autoFilter ref="A28:O33"/>
  <tableColumns count="15">
    <tableColumn id="1" name="FAIXA ETÁRIA (ANOS)" totalsRowDxfId="161"/>
    <tableColumn id="2" name="Jan" totalsRowFunction="sum" dataDxfId="160" totalsRowDxfId="159"/>
    <tableColumn id="3" name="Fev" totalsRowFunction="sum" dataDxfId="158" totalsRowDxfId="157"/>
    <tableColumn id="4" name="Mar" totalsRowFunction="sum" dataDxfId="156" totalsRowDxfId="155"/>
    <tableColumn id="5" name="Abr" totalsRowFunction="sum" dataDxfId="154" totalsRowDxfId="153"/>
    <tableColumn id="6" name="Mai" totalsRowFunction="sum" dataDxfId="152" totalsRowDxfId="151"/>
    <tableColumn id="7" name="Jun" totalsRowFunction="sum" dataDxfId="150" totalsRowDxfId="149"/>
    <tableColumn id="8" name="Jul" totalsRowFunction="sum" dataDxfId="148" totalsRowDxfId="147"/>
    <tableColumn id="9" name="Ago" totalsRowFunction="sum" dataDxfId="146" totalsRowDxfId="145"/>
    <tableColumn id="10" name="Set" totalsRowFunction="sum" dataDxfId="144" totalsRowDxfId="143"/>
    <tableColumn id="11" name="Out" totalsRowFunction="sum" dataDxfId="142" totalsRowDxfId="141"/>
    <tableColumn id="12" name="Nov" totalsRowFunction="sum" dataDxfId="140" totalsRowDxfId="139"/>
    <tableColumn id="13" name="Dez" totalsRowFunction="sum" dataDxfId="138" totalsRowDxfId="137"/>
    <tableColumn id="14" name="2019" totalsRowFunction="sum" dataDxfId="136" totalsRowDxfId="135">
      <calculatedColumnFormula>SUM(FE_M[[#This Row],[Jan]:[Dez]])</calculatedColumnFormula>
    </tableColumn>
    <tableColumn id="15" name="2019 [%]" dataDxfId="134" totalsRowDxfId="133">
      <calculatedColumnFormula>FE_M[[#This Row],[2019]]/FE_M[[#Totals],[2019]]</calculatedColumnFormula>
    </tableColumn>
  </tableColumns>
  <tableStyleInfo name="TableStyleMedium14" showFirstColumn="0" showLastColumn="0" showRowStripes="1" showColumnStripes="0"/>
</table>
</file>

<file path=xl/tables/table101.xml><?xml version="1.0" encoding="utf-8"?>
<table xmlns="http://schemas.openxmlformats.org/spreadsheetml/2006/main" id="58" name="DS_M" displayName="DS_M" ref="A36:O45" totalsRowCount="1" headerRowDxfId="132" dataDxfId="131" totalsRowDxfId="129" tableBorderDxfId="130">
  <autoFilter ref="A36:O44"/>
  <tableColumns count="15">
    <tableColumn id="1" name="DIA DA SEMANA DO ACIDENTE" totalsRowDxfId="128"/>
    <tableColumn id="2" name="Jan" totalsRowFunction="sum" dataDxfId="127" totalsRowDxfId="126"/>
    <tableColumn id="3" name="Fev" totalsRowFunction="sum" dataDxfId="125" totalsRowDxfId="124"/>
    <tableColumn id="4" name="Mar" totalsRowFunction="sum" dataDxfId="123" totalsRowDxfId="122"/>
    <tableColumn id="5" name="Abr" totalsRowFunction="sum" dataDxfId="121" totalsRowDxfId="120"/>
    <tableColumn id="6" name="Mai" totalsRowFunction="sum" dataDxfId="119" totalsRowDxfId="118"/>
    <tableColumn id="7" name="Jun" totalsRowFunction="sum" dataDxfId="117" totalsRowDxfId="116"/>
    <tableColumn id="8" name="Jul" totalsRowFunction="sum" dataDxfId="115" totalsRowDxfId="114"/>
    <tableColumn id="9" name="Ago" totalsRowFunction="sum" dataDxfId="113" totalsRowDxfId="112"/>
    <tableColumn id="10" name="Set" totalsRowFunction="sum" dataDxfId="111" totalsRowDxfId="110"/>
    <tableColumn id="11" name="Out" totalsRowFunction="sum" dataDxfId="109" totalsRowDxfId="108"/>
    <tableColumn id="12" name="Nov" totalsRowFunction="sum" dataDxfId="107" totalsRowDxfId="106"/>
    <tableColumn id="13" name="Dez" totalsRowFunction="sum" dataDxfId="105" totalsRowDxfId="104"/>
    <tableColumn id="14" name="2019" totalsRowFunction="sum" dataDxfId="103" totalsRowDxfId="102">
      <calculatedColumnFormula>SUM(DS_M[[#This Row],[Jan]:[Dez]])</calculatedColumnFormula>
    </tableColumn>
    <tableColumn id="15" name="2019 [%]" dataDxfId="101" totalsRowDxfId="100">
      <calculatedColumnFormula>DS_M[[#This Row],[2019]]/DS_M[[#Totals],[2019]]</calculatedColumnFormula>
    </tableColumn>
  </tableColumns>
  <tableStyleInfo name="TableStyleMedium14" showFirstColumn="0" showLastColumn="0" showRowStripes="1" showColumnStripes="0"/>
</table>
</file>

<file path=xl/tables/table102.xml><?xml version="1.0" encoding="utf-8"?>
<table xmlns="http://schemas.openxmlformats.org/spreadsheetml/2006/main" id="59" name="ART_M" displayName="ART_M" ref="A47:O53" totalsRowCount="1" headerRowDxfId="99" dataDxfId="98" totalsRowDxfId="96" tableBorderDxfId="97">
  <autoFilter ref="A47:O52"/>
  <tableColumns count="15">
    <tableColumn id="1" name="ACIDENTE RELACIONADO AO TRABALHO" totalsRowDxfId="95"/>
    <tableColumn id="2" name="Jan" totalsRowFunction="sum" dataDxfId="94" totalsRowDxfId="93"/>
    <tableColumn id="3" name="Fev" totalsRowFunction="sum" dataDxfId="92" totalsRowDxfId="91"/>
    <tableColumn id="4" name="Mar" totalsRowFunction="sum" dataDxfId="90" totalsRowDxfId="89"/>
    <tableColumn id="5" name="Abr" totalsRowFunction="sum" dataDxfId="88" totalsRowDxfId="87"/>
    <tableColumn id="6" name="Mai" totalsRowFunction="sum" dataDxfId="86" totalsRowDxfId="85"/>
    <tableColumn id="7" name="Jun" totalsRowFunction="sum" dataDxfId="84" totalsRowDxfId="83"/>
    <tableColumn id="8" name="Jul" totalsRowFunction="sum" dataDxfId="82" totalsRowDxfId="81"/>
    <tableColumn id="9" name="Ago" totalsRowFunction="sum" dataDxfId="80" totalsRowDxfId="79"/>
    <tableColumn id="10" name="Set" totalsRowFunction="sum" dataDxfId="78" totalsRowDxfId="77"/>
    <tableColumn id="11" name="Out" totalsRowFunction="sum" dataDxfId="76" totalsRowDxfId="75"/>
    <tableColumn id="12" name="Nov" totalsRowFunction="sum" dataDxfId="74" totalsRowDxfId="73"/>
    <tableColumn id="13" name="Dez" totalsRowFunction="sum" dataDxfId="72" totalsRowDxfId="71"/>
    <tableColumn id="14" name="2019" totalsRowFunction="sum" dataDxfId="70" totalsRowDxfId="69">
      <calculatedColumnFormula>SUM(ART_M[[#This Row],[Jan]:[Dez]])</calculatedColumnFormula>
    </tableColumn>
    <tableColumn id="15" name="2019 [%]" dataDxfId="68" totalsRowDxfId="67">
      <calculatedColumnFormula>ART_M[[#This Row],[2019]]/ART_M[[#Totals],[2019]]</calculatedColumnFormula>
    </tableColumn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60" name="OPA_M" displayName="OPA_M" ref="A55:O68" totalsRowCount="1" headerRowDxfId="66" dataDxfId="65" totalsRowDxfId="63" tableBorderDxfId="64">
  <autoFilter ref="A55:O67"/>
  <tableColumns count="15">
    <tableColumn id="1" name="OUTRA PARTE ENVOLVIDA NO ACIDENTE" totalsRowDxfId="62"/>
    <tableColumn id="2" name="Jan" totalsRowFunction="sum" dataDxfId="61" totalsRowDxfId="60"/>
    <tableColumn id="3" name="Fev" totalsRowFunction="sum" dataDxfId="59" totalsRowDxfId="58"/>
    <tableColumn id="4" name="Mar" totalsRowFunction="sum" dataDxfId="57" totalsRowDxfId="56"/>
    <tableColumn id="5" name="Abr" totalsRowFunction="sum" dataDxfId="55" totalsRowDxfId="54"/>
    <tableColumn id="6" name="Mai" totalsRowFunction="sum" dataDxfId="53" totalsRowDxfId="52"/>
    <tableColumn id="7" name="Jun" totalsRowFunction="sum" dataDxfId="51" totalsRowDxfId="50"/>
    <tableColumn id="8" name="Jul" totalsRowFunction="sum" dataDxfId="49" totalsRowDxfId="48"/>
    <tableColumn id="9" name="Ago" totalsRowFunction="sum" dataDxfId="47" totalsRowDxfId="46"/>
    <tableColumn id="10" name="Set" totalsRowFunction="sum" dataDxfId="45" totalsRowDxfId="44"/>
    <tableColumn id="11" name="Out" totalsRowFunction="sum" dataDxfId="43" totalsRowDxfId="42"/>
    <tableColumn id="12" name="Nov" totalsRowFunction="sum" dataDxfId="41" totalsRowDxfId="40"/>
    <tableColumn id="13" name="Dez" totalsRowFunction="sum" dataDxfId="39" totalsRowDxfId="38"/>
    <tableColumn id="14" name="2019" totalsRowFunction="sum" dataDxfId="37" totalsRowDxfId="36">
      <calculatedColumnFormula>SUM(OPA_M[[#This Row],[Jan]:[Dez]])</calculatedColumnFormula>
    </tableColumn>
    <tableColumn id="15" name="2019 [%]" dataDxfId="35" totalsRowDxfId="34">
      <calculatedColumnFormula>OPA_M[[#This Row],[2019]]/OPA_M[[#Totals],[2019]]</calculatedColumnFormula>
    </tableColumn>
  </tableColumns>
  <tableStyleInfo name="TableStyleMedium14" showFirstColumn="0" showLastColumn="0" showRowStripes="1" showColumnStripes="0"/>
</table>
</file>

<file path=xl/tables/table104.xml><?xml version="1.0" encoding="utf-8"?>
<table xmlns="http://schemas.openxmlformats.org/spreadsheetml/2006/main" id="62" name="EVO_224" displayName="EVO_224" ref="A70:O79" totalsRowCount="1" headerRowDxfId="33" dataDxfId="32" totalsRowDxfId="30" tableBorderDxfId="31">
  <autoFilter ref="A70:O78"/>
  <tableColumns count="15">
    <tableColumn id="1" name="EVOLUÇÃO EM 72 HORAS DO ATENDIMENTO NO SERVIÇO" dataDxfId="29" totalsRowDxfId="28"/>
    <tableColumn id="2" name="Jan" totalsRowFunction="sum" dataDxfId="27" totalsRowDxfId="26"/>
    <tableColumn id="3" name="Fev" totalsRowFunction="sum" dataDxfId="25" totalsRowDxfId="24"/>
    <tableColumn id="4" name="Mar" totalsRowFunction="sum" dataDxfId="23" totalsRowDxfId="22"/>
    <tableColumn id="5" name="Abr" totalsRowFunction="sum" dataDxfId="21" totalsRowDxfId="20"/>
    <tableColumn id="6" name="Mai" totalsRowFunction="sum" dataDxfId="19" totalsRowDxfId="18"/>
    <tableColumn id="7" name="Jun" totalsRowFunction="sum" dataDxfId="17" totalsRowDxfId="16"/>
    <tableColumn id="8" name="Jul" totalsRowFunction="sum" dataDxfId="15" totalsRowDxfId="14"/>
    <tableColumn id="9" name="Ago" totalsRowFunction="sum" dataDxfId="13" totalsRowDxfId="12"/>
    <tableColumn id="10" name="Set" totalsRowFunction="sum" dataDxfId="11" totalsRowDxfId="10"/>
    <tableColumn id="11" name="Out" totalsRowFunction="sum" dataDxfId="9" totalsRowDxfId="8"/>
    <tableColumn id="12" name="Nov" totalsRowFunction="sum" dataDxfId="7" totalsRowDxfId="6"/>
    <tableColumn id="13" name="Dez" totalsRowFunction="sum" dataDxfId="5" totalsRowDxfId="4"/>
    <tableColumn id="14" name="2019" totalsRowFunction="sum" dataDxfId="3" totalsRowDxfId="2">
      <calculatedColumnFormula>SUM(EVO_224[[#This Row],[Jan]:[Dez]])</calculatedColumnFormula>
    </tableColumn>
    <tableColumn id="15" name="2019 [%]" dataDxfId="1" totalsRowDxfId="0">
      <calculatedColumnFormula>EVO_224[[#This Row],[2019]]/EVO_224[[#Totals],[2019]]</calculatedColumnFormula>
    </tableColumn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id="112" name="LeitoInstDia113" displayName="LeitoInstDia113" ref="A75:N85" totalsRowShown="0" headerRowDxfId="2883" dataDxfId="2882">
  <autoFilter ref="A75:N85"/>
  <tableColumns count="14">
    <tableColumn id="1" name="UNIDADE" dataDxfId="2881"/>
    <tableColumn id="2" name="JAN" dataDxfId="2880"/>
    <tableColumn id="3" name="FEV" dataDxfId="2879"/>
    <tableColumn id="4" name="MAR" dataDxfId="2878"/>
    <tableColumn id="5" name="ABR" dataDxfId="2877"/>
    <tableColumn id="6" name="MAI" dataDxfId="2876"/>
    <tableColumn id="7" name="JUN" dataDxfId="2875"/>
    <tableColumn id="8" name="JUL" dataDxfId="2874"/>
    <tableColumn id="9" name="AGO" dataDxfId="2873"/>
    <tableColumn id="10" name="SET" dataDxfId="2872"/>
    <tableColumn id="11" name="OUT" dataDxfId="2871"/>
    <tableColumn id="12" name="NOV" dataDxfId="2870"/>
    <tableColumn id="13" name="DEZ" dataDxfId="2869"/>
    <tableColumn id="14" name="2019" dataDxfId="2868">
      <calculatedColumnFormula>SUM(LeitoInstDia113[[#This Row],[JAN]:[DEZ]])</calculatedColumnFormula>
    </tableColumn>
  </tableColumns>
  <tableStyleInfo name="TableStyleMedium12" showFirstColumn="0" showLastColumn="0" showRowStripes="1" showColumnStripes="0"/>
</table>
</file>

<file path=xl/tables/table12.xml><?xml version="1.0" encoding="utf-8"?>
<table xmlns="http://schemas.openxmlformats.org/spreadsheetml/2006/main" id="113" name="TxOcH114" displayName="TxOcH114" ref="A112:N122" totalsRowShown="0" headerRowDxfId="2867" dataDxfId="2866">
  <autoFilter ref="A112:N122"/>
  <tableColumns count="14">
    <tableColumn id="1" name="UNIDADE" dataDxfId="2865"/>
    <tableColumn id="2" name="JAN" dataDxfId="2864">
      <calculatedColumnFormula>IF(B76 = 0,0,B4/B76)</calculatedColumnFormula>
    </tableColumn>
    <tableColumn id="3" name="FEV" dataDxfId="2863" dataCellStyle="Porcentagem">
      <calculatedColumnFormula>IF(C76 = 0,0,C4/C76)</calculatedColumnFormula>
    </tableColumn>
    <tableColumn id="4" name="MAR" dataDxfId="2862" dataCellStyle="Porcentagem">
      <calculatedColumnFormula>IF(D76 = 0,0,D4/D76)</calculatedColumnFormula>
    </tableColumn>
    <tableColumn id="5" name="ABR" dataDxfId="2861" dataCellStyle="Porcentagem">
      <calculatedColumnFormula>IF(E76 = 0,0,E4/E76)</calculatedColumnFormula>
    </tableColumn>
    <tableColumn id="6" name="MAI" dataDxfId="2860" dataCellStyle="Porcentagem">
      <calculatedColumnFormula>IF(F76 = 0,0,F4/F76)</calculatedColumnFormula>
    </tableColumn>
    <tableColumn id="7" name="JUN" dataDxfId="2859" dataCellStyle="Porcentagem">
      <calculatedColumnFormula>IF(G76 = 0,0,G4/G76)</calculatedColumnFormula>
    </tableColumn>
    <tableColumn id="8" name="JUL" dataDxfId="2858" dataCellStyle="Porcentagem">
      <calculatedColumnFormula>IF(H76 = 0,0,H4/H76)</calculatedColumnFormula>
    </tableColumn>
    <tableColumn id="9" name="AGO" dataDxfId="2857" dataCellStyle="Porcentagem">
      <calculatedColumnFormula>IF(I76 = 0,0,I4/I76)</calculatedColumnFormula>
    </tableColumn>
    <tableColumn id="10" name="SET" dataDxfId="2856" dataCellStyle="Porcentagem">
      <calculatedColumnFormula>IF(J76 = 0,0,J4/J76)</calculatedColumnFormula>
    </tableColumn>
    <tableColumn id="11" name="OUT" dataDxfId="2855" dataCellStyle="Porcentagem">
      <calculatedColumnFormula>IF(K76 = 0,0,K4/K76)</calculatedColumnFormula>
    </tableColumn>
    <tableColumn id="12" name="NOV" dataDxfId="2854" dataCellStyle="Porcentagem">
      <calculatedColumnFormula>IF(L76 = 0,0,L4/L76)</calculatedColumnFormula>
    </tableColumn>
    <tableColumn id="13" name="DEZ" dataDxfId="2853" dataCellStyle="Porcentagem">
      <calculatedColumnFormula>IF(M76 = 0,0,M4/M76)</calculatedColumnFormula>
    </tableColumn>
    <tableColumn id="14" name="2019" dataDxfId="2852" dataCellStyle="Porcentagem">
      <calculatedColumnFormula>IF(N76 = 0,0,N4/N76)</calculatedColumnFormula>
    </tableColumn>
  </tableColumns>
  <tableStyleInfo name="TableStyleLight19" showFirstColumn="0" showLastColumn="0" showRowStripes="1" showColumnStripes="0"/>
</table>
</file>

<file path=xl/tables/table13.xml><?xml version="1.0" encoding="utf-8"?>
<table xmlns="http://schemas.openxmlformats.org/spreadsheetml/2006/main" id="114" name="IIS_115" displayName="IIS_115" ref="A148:N158" totalsRowShown="0" headerRowDxfId="2851" dataDxfId="2850">
  <autoFilter ref="A148:N158"/>
  <tableColumns count="14">
    <tableColumn id="1" name="UNIDADE" dataDxfId="2849"/>
    <tableColumn id="2" name="JAN" dataDxfId="2848">
      <calculatedColumnFormula>IF(B113=0,0,(1-B113)*B101/B113)</calculatedColumnFormula>
    </tableColumn>
    <tableColumn id="3" name="FEV" dataDxfId="2847" dataCellStyle="Porcentagem">
      <calculatedColumnFormula>IF(C113=0,0,(1-C113)*C101/C113)</calculatedColumnFormula>
    </tableColumn>
    <tableColumn id="4" name="MAR" dataDxfId="2846" dataCellStyle="Porcentagem">
      <calculatedColumnFormula>IF(D113=0,0,(1-D113)*D101/D113)</calculatedColumnFormula>
    </tableColumn>
    <tableColumn id="5" name="ABR" dataDxfId="2845" dataCellStyle="Porcentagem">
      <calculatedColumnFormula>IF(E113=0,0,(1-E113)*E101/E113)</calculatedColumnFormula>
    </tableColumn>
    <tableColumn id="6" name="MAI" dataDxfId="2844" dataCellStyle="Porcentagem">
      <calculatedColumnFormula>IF(F113=0,0,(1-F113)*F101/F113)</calculatedColumnFormula>
    </tableColumn>
    <tableColumn id="7" name="JUN" dataDxfId="2843" dataCellStyle="Porcentagem">
      <calculatedColumnFormula>IF(G113=0,0,(1-G113)*G101/G113)</calculatedColumnFormula>
    </tableColumn>
    <tableColumn id="8" name="JUL" dataDxfId="2842" dataCellStyle="Porcentagem">
      <calculatedColumnFormula>IF(H113=0,0,(1-H113)*H101/H113)</calculatedColumnFormula>
    </tableColumn>
    <tableColumn id="9" name="AGO" dataDxfId="2841" dataCellStyle="Porcentagem">
      <calculatedColumnFormula>IF(I113=0,0,(1-I113)*I101/I113)</calculatedColumnFormula>
    </tableColumn>
    <tableColumn id="10" name="SET" dataDxfId="2840" dataCellStyle="Porcentagem">
      <calculatedColumnFormula>IF(J113=0,0,(1-J113)*J101/J113)</calculatedColumnFormula>
    </tableColumn>
    <tableColumn id="11" name="OUT" dataDxfId="2839" dataCellStyle="Porcentagem">
      <calculatedColumnFormula>IF(K113=0,0,(1-K113)*K101/K113)</calculatedColumnFormula>
    </tableColumn>
    <tableColumn id="12" name="NOV" dataDxfId="2838" dataCellStyle="Porcentagem">
      <calculatedColumnFormula>IF(L113=0,0,(1-L113)*L101/L113)</calculatedColumnFormula>
    </tableColumn>
    <tableColumn id="13" name="DEZ" dataDxfId="2837" dataCellStyle="Porcentagem">
      <calculatedColumnFormula>IF(M113=0,0,(1-M113)*M101/M113)</calculatedColumnFormula>
    </tableColumn>
    <tableColumn id="14" name="2019" dataDxfId="2836" dataCellStyle="Porcentagem">
      <calculatedColumnFormula>IF(N113=0,0,(1-N113)*N101/N113)</calculatedColumnFormula>
    </tableColumn>
  </tableColumns>
  <tableStyleInfo name="TableStyleLight19" showFirstColumn="0" showLastColumn="0" showRowStripes="1" showColumnStripes="0"/>
</table>
</file>

<file path=xl/tables/table14.xml><?xml version="1.0" encoding="utf-8"?>
<table xmlns="http://schemas.openxmlformats.org/spreadsheetml/2006/main" id="4" name="PC_5" displayName="PC_5" ref="A3:N8" totalsRowCount="1" headerRowDxfId="2835" dataDxfId="2834">
  <autoFilter ref="A3:N7"/>
  <tableColumns count="14">
    <tableColumn id="1" name="Tipo de Atendimento" dataDxfId="2833" totalsRowDxfId="2832"/>
    <tableColumn id="2" name="JAN" totalsRowFunction="sum" dataDxfId="2831" totalsRowDxfId="2830"/>
    <tableColumn id="3" name="FEV" totalsRowFunction="sum" dataDxfId="2829" totalsRowDxfId="2828"/>
    <tableColumn id="4" name="MAR" totalsRowFunction="sum" dataDxfId="2827" totalsRowDxfId="2826"/>
    <tableColumn id="5" name="ABR" totalsRowFunction="sum" dataDxfId="2825" totalsRowDxfId="2824"/>
    <tableColumn id="6" name="MAI" totalsRowFunction="sum" dataDxfId="2823" totalsRowDxfId="2822"/>
    <tableColumn id="7" name="JUN" totalsRowFunction="sum" dataDxfId="2821" totalsRowDxfId="2820"/>
    <tableColumn id="8" name="JUL" totalsRowFunction="sum" dataDxfId="2819" totalsRowDxfId="2818"/>
    <tableColumn id="9" name="AGO" totalsRowFunction="sum" dataDxfId="2817" totalsRowDxfId="2816"/>
    <tableColumn id="10" name="SET" totalsRowFunction="sum" dataDxfId="2815" totalsRowDxfId="2814"/>
    <tableColumn id="11" name="OUT" totalsRowFunction="sum" dataDxfId="2813" totalsRowDxfId="2812"/>
    <tableColumn id="12" name="NOV" totalsRowFunction="sum" dataDxfId="2811" totalsRowDxfId="2810"/>
    <tableColumn id="13" name="DEZ" totalsRowFunction="sum" dataDxfId="2809" totalsRowDxfId="2808"/>
    <tableColumn id="14" name="2019" totalsRowFunction="sum" totalsRowDxfId="2807">
      <calculatedColumnFormula>SUM(PC_5[[#This Row],[JAN]:[DEZ]])</calculatedColumnFormula>
    </tableColumn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5" name="AIH_6" displayName="AIH_6" ref="A12:N13" totalsRowShown="0" headerRowDxfId="2806" dataDxfId="2805">
  <autoFilter ref="A12:N13"/>
  <tableColumns count="14">
    <tableColumn id="1" name="Entradas" dataDxfId="2804"/>
    <tableColumn id="2" name="JAN" dataDxfId="2803"/>
    <tableColumn id="3" name="FEV" dataDxfId="2802"/>
    <tableColumn id="4" name="MAR" dataDxfId="2801"/>
    <tableColumn id="5" name="ABR" dataDxfId="2800"/>
    <tableColumn id="6" name="MAI" dataDxfId="2799"/>
    <tableColumn id="7" name="JUN" dataDxfId="2798"/>
    <tableColumn id="8" name="JUL" dataDxfId="2797"/>
    <tableColumn id="9" name="AGO" dataDxfId="2796"/>
    <tableColumn id="10" name="SET" dataDxfId="2795"/>
    <tableColumn id="11" name="OUT" dataDxfId="2794"/>
    <tableColumn id="12" name="NOV" dataDxfId="2793"/>
    <tableColumn id="13" name="DEZ" dataDxfId="2792"/>
    <tableColumn id="14" name="2019" dataDxfId="2791">
      <calculatedColumnFormula>SUM(AIH_6[[JAN]:[DEZ]])</calculatedColumnFormula>
    </tableColumn>
  </tableColumns>
  <tableStyleInfo name="TableStyleMedium14" showFirstColumn="0" showLastColumn="0" showRowStripes="1" showColumnStripes="0"/>
</table>
</file>

<file path=xl/tables/table16.xml><?xml version="1.0" encoding="utf-8"?>
<table xmlns="http://schemas.openxmlformats.org/spreadsheetml/2006/main" id="6" name="AT_7" displayName="AT_7" ref="A17:N18" totalsRowShown="0" headerRowDxfId="2790" dataDxfId="2789">
  <autoFilter ref="A17:N18"/>
  <tableColumns count="14">
    <tableColumn id="1" name="Atendimentos" dataDxfId="2788"/>
    <tableColumn id="2" name="JAN" dataDxfId="2787">
      <calculatedColumnFormula>SUM(B8,B13)</calculatedColumnFormula>
    </tableColumn>
    <tableColumn id="3" name="FEV" dataDxfId="2786">
      <calculatedColumnFormula>SUM(C8,C13)</calculatedColumnFormula>
    </tableColumn>
    <tableColumn id="4" name="MAR" dataDxfId="2785">
      <calculatedColumnFormula>SUM(D13,D8)</calculatedColumnFormula>
    </tableColumn>
    <tableColumn id="5" name="ABR" dataDxfId="2784">
      <calculatedColumnFormula>SUM(E13,E8)</calculatedColumnFormula>
    </tableColumn>
    <tableColumn id="6" name="MAI" dataDxfId="2783">
      <calculatedColumnFormula>SUM(F13,F8)</calculatedColumnFormula>
    </tableColumn>
    <tableColumn id="7" name="JUN" dataDxfId="2782">
      <calculatedColumnFormula>SUM(G13,G8)</calculatedColumnFormula>
    </tableColumn>
    <tableColumn id="8" name="JUL" dataDxfId="2781">
      <calculatedColumnFormula>SUM(H13,H8)</calculatedColumnFormula>
    </tableColumn>
    <tableColumn id="9" name="AGO" dataDxfId="2780">
      <calculatedColumnFormula>SUM(I13,I8)</calculatedColumnFormula>
    </tableColumn>
    <tableColumn id="10" name="SET" dataDxfId="2779">
      <calculatedColumnFormula>SUM(J13,J8)</calculatedColumnFormula>
    </tableColumn>
    <tableColumn id="11" name="OUT" dataDxfId="2778">
      <calculatedColumnFormula>SUM(K13,K8)</calculatedColumnFormula>
    </tableColumn>
    <tableColumn id="12" name="NOV" dataDxfId="2777">
      <calculatedColumnFormula>SUM(L13,L8)</calculatedColumnFormula>
    </tableColumn>
    <tableColumn id="13" name="DEZ" dataDxfId="2776">
      <calculatedColumnFormula>SUM(M13,M8)</calculatedColumnFormula>
    </tableColumn>
    <tableColumn id="14" name="2019" dataDxfId="2775">
      <calculatedColumnFormula>SUM(AT_7[[JAN]:[DEZ]])</calculatedColumnFormula>
    </tableColumn>
  </tableColumns>
  <tableStyleInfo name="TableStyleMedium14" showFirstColumn="0" showLastColumn="0" showRowStripes="1" showColumnStripes="0"/>
</table>
</file>

<file path=xl/tables/table17.xml><?xml version="1.0" encoding="utf-8"?>
<table xmlns="http://schemas.openxmlformats.org/spreadsheetml/2006/main" id="30" name="PrimCons3" displayName="PrimCons3" ref="A2:N30" totalsRowCount="1" headerRowDxfId="2774" dataDxfId="2773">
  <autoFilter ref="A2:N29"/>
  <tableColumns count="14">
    <tableColumn id="1" name="ESPECIALIDADES" dataDxfId="2772" totalsRowDxfId="2771"/>
    <tableColumn id="2" name="JAN" totalsRowFunction="sum" dataDxfId="2770" totalsRowDxfId="2769"/>
    <tableColumn id="3" name="FEV" totalsRowFunction="sum" dataDxfId="2768" totalsRowDxfId="2767"/>
    <tableColumn id="4" name="MAR" totalsRowFunction="sum" dataDxfId="2766" totalsRowDxfId="2765"/>
    <tableColumn id="5" name="ABR" totalsRowFunction="sum" dataDxfId="2764" totalsRowDxfId="2763"/>
    <tableColumn id="6" name="MAI" totalsRowFunction="sum" dataDxfId="2762" totalsRowDxfId="2761"/>
    <tableColumn id="7" name="JUN" totalsRowFunction="sum" dataDxfId="2760" totalsRowDxfId="2759"/>
    <tableColumn id="8" name="JUL" totalsRowFunction="sum" dataDxfId="2758" totalsRowDxfId="2757"/>
    <tableColumn id="9" name="AGO" totalsRowFunction="sum" dataDxfId="2756" totalsRowDxfId="2755"/>
    <tableColumn id="10" name="SET" totalsRowFunction="sum" dataDxfId="2754" totalsRowDxfId="2753"/>
    <tableColumn id="11" name="OUT" totalsRowFunction="sum" dataDxfId="2752" totalsRowDxfId="2751"/>
    <tableColumn id="12" name="NOV" totalsRowFunction="sum" dataDxfId="2750" totalsRowDxfId="2749"/>
    <tableColumn id="13" name="DEZ" totalsRowFunction="sum" dataDxfId="2748" totalsRowDxfId="2747"/>
    <tableColumn id="15" name="2019" totalsRowFunction="sum" dataDxfId="2746" totalsRowDxfId="2745">
      <calculatedColumnFormula>SUM(PrimCons3[[#This Row],[JAN]:[DEZ]])</calculatedColumnFormula>
    </tableColumn>
  </tableColumns>
  <tableStyleInfo name="TableStyleMedium14" showFirstColumn="0" showLastColumn="0" showRowStripes="1" showColumnStripes="0"/>
</table>
</file>

<file path=xl/tables/table18.xml><?xml version="1.0" encoding="utf-8"?>
<table xmlns="http://schemas.openxmlformats.org/spreadsheetml/2006/main" id="31" name="PrimCons332" displayName="PrimCons332" ref="A33:N37" totalsRowCount="1" headerRowDxfId="2744" dataDxfId="2743">
  <autoFilter ref="A33:N36"/>
  <tableColumns count="14">
    <tableColumn id="1" name="ESPECIALIDADES" dataDxfId="2742" totalsRowDxfId="2741"/>
    <tableColumn id="2" name="JAN" totalsRowFunction="sum" dataDxfId="2740" totalsRowDxfId="2739"/>
    <tableColumn id="3" name="FEV" totalsRowFunction="sum" dataDxfId="2738" totalsRowDxfId="2737"/>
    <tableColumn id="4" name="MAR" totalsRowFunction="sum" dataDxfId="2736" totalsRowDxfId="2735"/>
    <tableColumn id="5" name="ABR" totalsRowFunction="sum" dataDxfId="2734" totalsRowDxfId="2733"/>
    <tableColumn id="6" name="MAI" totalsRowFunction="sum" dataDxfId="2732" totalsRowDxfId="2731"/>
    <tableColumn id="7" name="JUN" totalsRowFunction="sum" dataDxfId="2730" totalsRowDxfId="2729"/>
    <tableColumn id="8" name="JUL" totalsRowFunction="sum" dataDxfId="2728" totalsRowDxfId="2727"/>
    <tableColumn id="9" name="AGO" totalsRowFunction="sum" dataDxfId="2726" totalsRowDxfId="2725"/>
    <tableColumn id="10" name="SET" totalsRowFunction="sum" dataDxfId="2724" totalsRowDxfId="2723"/>
    <tableColumn id="11" name="OUT" totalsRowFunction="sum" dataDxfId="2722" totalsRowDxfId="2721"/>
    <tableColumn id="12" name="NOV" totalsRowFunction="sum" dataDxfId="2720" totalsRowDxfId="2719"/>
    <tableColumn id="13" name="DEZ" totalsRowFunction="sum" dataDxfId="2718" totalsRowDxfId="2717"/>
    <tableColumn id="15" name="2019" totalsRowFunction="sum" dataDxfId="2716" totalsRowDxfId="2715">
      <calculatedColumnFormula>SUM(PrimCons332[[#This Row],[JAN]:[DEZ]])</calculatedColumnFormula>
    </tableColumn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32" name="PrimCons333" displayName="PrimCons333" ref="A40:N43" totalsRowCount="1" headerRowDxfId="2714" dataDxfId="2713">
  <autoFilter ref="A40:N42"/>
  <tableColumns count="14">
    <tableColumn id="1" name="ESPECIALIDADES" dataDxfId="2712" totalsRowDxfId="2711"/>
    <tableColumn id="2" name="JAN" totalsRowFunction="sum" dataDxfId="2710" totalsRowDxfId="2709"/>
    <tableColumn id="3" name="FEV" totalsRowFunction="sum" dataDxfId="2708" totalsRowDxfId="2707"/>
    <tableColumn id="4" name="MAR" totalsRowFunction="sum" dataDxfId="2706" totalsRowDxfId="2705"/>
    <tableColumn id="5" name="ABR" totalsRowFunction="sum" dataDxfId="2704" totalsRowDxfId="2703"/>
    <tableColumn id="6" name="MAI" totalsRowFunction="sum" dataDxfId="2702" totalsRowDxfId="2701"/>
    <tableColumn id="7" name="JUN" totalsRowFunction="sum" dataDxfId="2700" totalsRowDxfId="2699"/>
    <tableColumn id="8" name="JUL" totalsRowFunction="sum" dataDxfId="2698" totalsRowDxfId="2697"/>
    <tableColumn id="9" name="AGO" totalsRowFunction="sum" dataDxfId="2696" totalsRowDxfId="2695"/>
    <tableColumn id="10" name="SET" totalsRowFunction="sum" dataDxfId="2694" totalsRowDxfId="2693"/>
    <tableColumn id="11" name="OUT" totalsRowFunction="sum" dataDxfId="2692" totalsRowDxfId="2691"/>
    <tableColumn id="12" name="NOV" totalsRowFunction="sum" dataDxfId="2690" totalsRowDxfId="2689"/>
    <tableColumn id="13" name="DEZ" totalsRowFunction="sum" dataDxfId="2688" totalsRowDxfId="2687"/>
    <tableColumn id="15" name="2019" totalsRowFunction="sum" dataDxfId="2686" totalsRowDxfId="2685">
      <calculatedColumnFormula>SUM(PrimCons333[[#This Row],[JAN]:[DEZ]])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26" name="nS" displayName="nS" ref="A27:N37" totalsRowShown="0" headerRowDxfId="3027" dataDxfId="3026">
  <autoFilter ref="A27:N37"/>
  <tableColumns count="14">
    <tableColumn id="1" name="UNIDADE" dataDxfId="3025"/>
    <tableColumn id="2" name="JAN" dataDxfId="3024"/>
    <tableColumn id="3" name="FEV" dataDxfId="3023"/>
    <tableColumn id="4" name="MAR" dataDxfId="3022"/>
    <tableColumn id="5" name="ABR" dataDxfId="3021"/>
    <tableColumn id="6" name="MAI" dataDxfId="3020"/>
    <tableColumn id="7" name="JUN" dataDxfId="3019"/>
    <tableColumn id="8" name="JUL" dataDxfId="3018"/>
    <tableColumn id="9" name="AGO" dataDxfId="3017"/>
    <tableColumn id="10" name="SET" dataDxfId="3016"/>
    <tableColumn id="11" name="OUT" dataDxfId="3015"/>
    <tableColumn id="12" name="NOV" dataDxfId="3014"/>
    <tableColumn id="13" name="DEZ" dataDxfId="3013"/>
    <tableColumn id="14" name="2019" dataDxfId="3012">
      <calculatedColumnFormula>SUM(nS[[#This Row],[JAN]:[DEZ]])</calculatedColumnFormula>
    </tableColumn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3" name="AMBG8" displayName="AMBG8" ref="A46:N48" totalsRowCount="1" headerRowDxfId="2684" dataDxfId="2683" totalsRowDxfId="2682">
  <autoFilter ref="A46:N47"/>
  <tableColumns count="14">
    <tableColumn id="1" name="ESPECIALIDADES" dataDxfId="2681" totalsRowDxfId="2680"/>
    <tableColumn id="2" name="JAN" totalsRowFunction="sum" dataDxfId="2679" totalsRowDxfId="2678"/>
    <tableColumn id="3" name="FEV" totalsRowFunction="sum" dataDxfId="2677" totalsRowDxfId="2676"/>
    <tableColumn id="4" name="MAR" totalsRowFunction="sum" dataDxfId="2675" totalsRowDxfId="2674"/>
    <tableColumn id="5" name="ABR" totalsRowFunction="sum" dataDxfId="2673" totalsRowDxfId="2672"/>
    <tableColumn id="6" name="MAI" totalsRowFunction="sum" dataDxfId="2671" totalsRowDxfId="2670"/>
    <tableColumn id="7" name="JUN" totalsRowFunction="sum" dataDxfId="2669" totalsRowDxfId="2668"/>
    <tableColumn id="8" name="JUL" totalsRowFunction="sum" dataDxfId="2667" totalsRowDxfId="2666"/>
    <tableColumn id="9" name="AGO" totalsRowFunction="sum" dataDxfId="2665" totalsRowDxfId="2664"/>
    <tableColumn id="10" name="SET" totalsRowFunction="sum" dataDxfId="2663" totalsRowDxfId="2662"/>
    <tableColumn id="11" name="OUT" totalsRowFunction="sum" dataDxfId="2661" totalsRowDxfId="2660"/>
    <tableColumn id="12" name="NOV" totalsRowFunction="sum" dataDxfId="2659" totalsRowDxfId="2658"/>
    <tableColumn id="13" name="DEZ" totalsRowFunction="sum" dataDxfId="2657" totalsRowDxfId="2656"/>
    <tableColumn id="15" name="2019" totalsRowFunction="sum" dataDxfId="2655" totalsRowDxfId="2654">
      <calculatedColumnFormula>SUM(AMBG8[[#This Row],[JAN]:[DEZ]])</calculatedColumnFormula>
    </tableColumn>
  </tableColumns>
  <tableStyleInfo name="TableStyleMedium14" showFirstColumn="0" showLastColumn="0" showRowStripes="1" showColumnStripes="0"/>
</table>
</file>

<file path=xl/tables/table21.xml><?xml version="1.0" encoding="utf-8"?>
<table xmlns="http://schemas.openxmlformats.org/spreadsheetml/2006/main" id="78" name="Tabela279" displayName="Tabela279" ref="A3:N4" totalsRowShown="0" headerRowDxfId="2653" dataDxfId="2652">
  <autoFilter ref="A3:N4"/>
  <tableColumns count="14">
    <tableColumn id="1" name="DESCRIÇÃO" dataDxfId="2651"/>
    <tableColumn id="2" name="JAN" dataDxfId="2650"/>
    <tableColumn id="3" name="FEV" dataDxfId="2649"/>
    <tableColumn id="4" name="MAR" dataDxfId="2648"/>
    <tableColumn id="5" name="ABR" dataDxfId="2647"/>
    <tableColumn id="6" name="MAI" dataDxfId="2646"/>
    <tableColumn id="7" name="JUN" dataDxfId="2645"/>
    <tableColumn id="8" name="JUL" dataDxfId="2644"/>
    <tableColumn id="9" name="AGO" dataDxfId="2643"/>
    <tableColumn id="10" name="SET" dataDxfId="2642"/>
    <tableColumn id="11" name="OUT" dataDxfId="2641"/>
    <tableColumn id="12" name="NOV" dataDxfId="2640"/>
    <tableColumn id="13" name="DEZ" dataDxfId="2639"/>
    <tableColumn id="14" name="2019" dataDxfId="2638">
      <calculatedColumnFormula>SUM(Tabela279[[JAN]:[DEZ]])</calculatedColumnFormula>
    </tableColumn>
  </tableColumns>
  <tableStyleInfo name="TableStyleMedium14" showFirstColumn="0" showLastColumn="0" showRowStripes="1" showColumnStripes="0"/>
</table>
</file>

<file path=xl/tables/table22.xml><?xml version="1.0" encoding="utf-8"?>
<table xmlns="http://schemas.openxmlformats.org/spreadsheetml/2006/main" id="79" name="Tabela25" displayName="Tabela25" ref="A7:O14" totalsRowCount="1" headerRowDxfId="2637" dataDxfId="2636">
  <autoFilter ref="A7:O13"/>
  <tableColumns count="15">
    <tableColumn id="1" name="DESCRIÇÃO" dataDxfId="2635" totalsRowDxfId="2634"/>
    <tableColumn id="2" name="JAN" totalsRowFunction="sum" dataDxfId="2633" totalsRowDxfId="2632"/>
    <tableColumn id="3" name="FEV" totalsRowFunction="sum" dataDxfId="2631" totalsRowDxfId="2630"/>
    <tableColumn id="4" name="MAR" totalsRowFunction="sum" dataDxfId="2629" totalsRowDxfId="2628"/>
    <tableColumn id="5" name="ABR" totalsRowFunction="sum" dataDxfId="2627" totalsRowDxfId="2626"/>
    <tableColumn id="6" name="MAI" totalsRowFunction="sum" dataDxfId="2625" totalsRowDxfId="2624"/>
    <tableColumn id="7" name="JUN" totalsRowFunction="sum" dataDxfId="2623" totalsRowDxfId="2622"/>
    <tableColumn id="8" name="JUL" totalsRowFunction="sum" dataDxfId="2621" totalsRowDxfId="2620"/>
    <tableColumn id="9" name="AGO" totalsRowFunction="sum" dataDxfId="2619" totalsRowDxfId="2618"/>
    <tableColumn id="10" name="SET" totalsRowFunction="sum" dataDxfId="2617" totalsRowDxfId="2616"/>
    <tableColumn id="11" name="OUT" totalsRowFunction="sum" dataDxfId="2615" totalsRowDxfId="2614"/>
    <tableColumn id="12" name="NOV" totalsRowFunction="sum" dataDxfId="2613" totalsRowDxfId="2612"/>
    <tableColumn id="13" name="DEZ" totalsRowFunction="sum" dataDxfId="2611" totalsRowDxfId="2610"/>
    <tableColumn id="14" name="2019" totalsRowFunction="sum" dataDxfId="2609" totalsRowDxfId="2608">
      <calculatedColumnFormula>SUM(Tabela25[[#This Row],[JAN]:[DEZ]])</calculatedColumnFormula>
    </tableColumn>
    <tableColumn id="15" name="2019 [%]" dataDxfId="2607" totalsRowDxfId="2606" dataCellStyle="Porcentagem">
      <calculatedColumnFormula>Tabela25[[#This Row],[2019]]/Tabela25[[#Totals],[2019]]</calculatedColumnFormula>
    </tableColumn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80" name="Tabela256" displayName="Tabela256" ref="A27:O32" totalsRowCount="1" headerRowDxfId="2605" dataDxfId="2604">
  <autoFilter ref="A27:O31"/>
  <tableColumns count="15">
    <tableColumn id="1" name="DESCRIÇÃO" dataDxfId="2603" totalsRowDxfId="2602"/>
    <tableColumn id="2" name="JAN" totalsRowFunction="sum" dataDxfId="2601" totalsRowDxfId="2600"/>
    <tableColumn id="3" name="FEV" totalsRowFunction="sum" dataDxfId="2599" totalsRowDxfId="2598"/>
    <tableColumn id="4" name="MAR" totalsRowFunction="sum" dataDxfId="2597" totalsRowDxfId="2596"/>
    <tableColumn id="5" name="ABR" totalsRowFunction="sum" dataDxfId="2595" totalsRowDxfId="2594"/>
    <tableColumn id="6" name="MAI" totalsRowFunction="sum" dataDxfId="2593" totalsRowDxfId="2592"/>
    <tableColumn id="7" name="JUN" totalsRowFunction="sum" dataDxfId="2591" totalsRowDxfId="2590"/>
    <tableColumn id="8" name="JUL" totalsRowFunction="sum" dataDxfId="2589" totalsRowDxfId="2588"/>
    <tableColumn id="9" name="AGO" totalsRowFunction="sum" dataDxfId="2587" totalsRowDxfId="2586"/>
    <tableColumn id="10" name="SET" totalsRowFunction="sum" dataDxfId="2585" totalsRowDxfId="2584"/>
    <tableColumn id="11" name="OUT" totalsRowFunction="sum" dataDxfId="2583" totalsRowDxfId="2582"/>
    <tableColumn id="12" name="NOV" totalsRowFunction="sum" dataDxfId="2581" totalsRowDxfId="2580"/>
    <tableColumn id="13" name="DEZ" totalsRowFunction="sum" dataDxfId="2579" totalsRowDxfId="2578"/>
    <tableColumn id="14" name="2019" totalsRowFunction="sum" dataDxfId="2577" totalsRowDxfId="2576">
      <calculatedColumnFormula>SUM(Tabela256[[#This Row],[JAN]:[DEZ]])</calculatedColumnFormula>
    </tableColumn>
    <tableColumn id="15" name="2019 [%]" dataDxfId="2575" totalsRowDxfId="2574" dataCellStyle="Porcentagem">
      <calculatedColumnFormula>Tabela256[[#This Row],[2019]]/Tabela256[[#Totals],[2019]]</calculatedColumnFormula>
    </tableColumn>
  </tableColumns>
  <tableStyleInfo name="TableStyleMedium14" showFirstColumn="0" showLastColumn="0" showRowStripes="1" showColumnStripes="0"/>
</table>
</file>

<file path=xl/tables/table24.xml><?xml version="1.0" encoding="utf-8"?>
<table xmlns="http://schemas.openxmlformats.org/spreadsheetml/2006/main" id="81" name="Tabela257" displayName="Tabela257" ref="A17:N24" totalsRowCount="1" headerRowDxfId="2573" dataDxfId="2572">
  <autoFilter ref="A17:N23"/>
  <tableColumns count="14">
    <tableColumn id="1" name="DESCRIÇÃO" dataDxfId="2571" totalsRowDxfId="2570"/>
    <tableColumn id="2" name="JAN" totalsRowLabel=" 9,7 " dataDxfId="2569" totalsRowDxfId="2568"/>
    <tableColumn id="3" name="FEV" totalsRowLabel=" 8,1 " dataDxfId="2567" totalsRowDxfId="2566"/>
    <tableColumn id="4" name="MAR" totalsRowLabel=" 9,5 " dataDxfId="2565" totalsRowDxfId="2564"/>
    <tableColumn id="5" name="ABR" totalsRowLabel=" 11,9 " dataDxfId="2563" totalsRowDxfId="2562"/>
    <tableColumn id="6" name="MAI" totalsRowLabel=" 12,7 " dataDxfId="2561" totalsRowDxfId="2560"/>
    <tableColumn id="7" name="JUN" totalsRowLabel=" 8,6 " dataDxfId="2559" totalsRowDxfId="2558"/>
    <tableColumn id="8" name="JUL" totalsRowLabel=" 13,7 " dataDxfId="2557" totalsRowDxfId="2556"/>
    <tableColumn id="9" name="AGO" totalsRowLabel=" 12,4 " dataDxfId="2555" totalsRowDxfId="2554"/>
    <tableColumn id="10" name="SET" totalsRowLabel=" 8,1 " dataDxfId="2553" totalsRowDxfId="2552"/>
    <tableColumn id="11" name="OUT" totalsRowLabel=" 8,8 " dataDxfId="2551" totalsRowDxfId="2550"/>
    <tableColumn id="12" name="NOV" totalsRowLabel=" 12,4 " dataDxfId="2549" totalsRowDxfId="2548"/>
    <tableColumn id="13" name="DEZ" totalsRowLabel=" 7,4 " dataDxfId="2547" totalsRowDxfId="2546"/>
    <tableColumn id="14" name="2019" totalsRowLabel=" 10,3 " dataDxfId="2545" totalsRowDxfId="2544"/>
  </tableColumns>
  <tableStyleInfo name="TableStyleMedium14" showFirstColumn="0" showLastColumn="0" showRowStripes="1" showColumnStripes="0"/>
</table>
</file>

<file path=xl/tables/table25.xml><?xml version="1.0" encoding="utf-8"?>
<table xmlns="http://schemas.openxmlformats.org/spreadsheetml/2006/main" id="82" name="Tabela2568" displayName="Tabela2568" ref="A35:O38" totalsRowCount="1" headerRowDxfId="2543" dataDxfId="2542">
  <autoFilter ref="A35:O37"/>
  <tableColumns count="15">
    <tableColumn id="1" name="DESCRIÇÃO" dataDxfId="2541" totalsRowDxfId="2540"/>
    <tableColumn id="2" name="JAN" totalsRowFunction="sum" dataDxfId="2539" totalsRowDxfId="2538"/>
    <tableColumn id="3" name="FEV" totalsRowFunction="sum" dataDxfId="2537" totalsRowDxfId="2536"/>
    <tableColumn id="4" name="MAR" totalsRowFunction="sum" dataDxfId="2535" totalsRowDxfId="2534"/>
    <tableColumn id="5" name="ABR" totalsRowFunction="sum" dataDxfId="2533" totalsRowDxfId="2532"/>
    <tableColumn id="6" name="MAI" totalsRowFunction="sum" dataDxfId="2531" totalsRowDxfId="2530"/>
    <tableColumn id="7" name="JUN" totalsRowFunction="sum" dataDxfId="2529" totalsRowDxfId="2528"/>
    <tableColumn id="8" name="JUL" totalsRowFunction="sum" dataDxfId="2527" totalsRowDxfId="2526"/>
    <tableColumn id="9" name="AGO" totalsRowFunction="sum" dataDxfId="2525" totalsRowDxfId="2524"/>
    <tableColumn id="10" name="SET" totalsRowFunction="sum" dataDxfId="2523" totalsRowDxfId="2522"/>
    <tableColumn id="11" name="OUT" totalsRowFunction="sum" dataDxfId="2521" totalsRowDxfId="2520"/>
    <tableColumn id="12" name="NOV" totalsRowFunction="sum" dataDxfId="2519" totalsRowDxfId="2518"/>
    <tableColumn id="13" name="DEZ" totalsRowFunction="sum" dataDxfId="2517" totalsRowDxfId="2516"/>
    <tableColumn id="14" name="2019" totalsRowFunction="sum" dataDxfId="2515" totalsRowDxfId="2514">
      <calculatedColumnFormula>SUM(Tabela2568[[#This Row],[JAN]:[DEZ]])</calculatedColumnFormula>
    </tableColumn>
    <tableColumn id="15" name="2019 [%]" dataDxfId="2513" totalsRowDxfId="2512" dataCellStyle="Porcentagem">
      <calculatedColumnFormula>Tabela2568[[#This Row],[2019]]/Tabela2568[[#Totals],[2019]]</calculatedColumnFormula>
    </tableColumn>
  </tableColumns>
  <tableStyleInfo name="TableStyleMedium14" showFirstColumn="0" showLastColumn="0" showRowStripes="1" showColumnStripes="0"/>
</table>
</file>

<file path=xl/tables/table26.xml><?xml version="1.0" encoding="utf-8"?>
<table xmlns="http://schemas.openxmlformats.org/spreadsheetml/2006/main" id="83" name="Tabela25689" displayName="Tabela25689" ref="A41:O53" totalsRowCount="1" headerRowDxfId="2511" dataDxfId="2510">
  <autoFilter ref="A41:O52"/>
  <tableColumns count="15">
    <tableColumn id="1" name="DESCRIÇÃO" dataDxfId="2509" totalsRowDxfId="2508"/>
    <tableColumn id="2" name="JAN" totalsRowFunction="sum" dataDxfId="2507" totalsRowDxfId="2506"/>
    <tableColumn id="3" name="FEV" totalsRowFunction="sum" dataDxfId="2505" totalsRowDxfId="2504"/>
    <tableColumn id="4" name="MAR" totalsRowFunction="sum" dataDxfId="2503" totalsRowDxfId="2502"/>
    <tableColumn id="5" name="ABR" totalsRowFunction="sum" dataDxfId="2501" totalsRowDxfId="2500"/>
    <tableColumn id="6" name="MAI" totalsRowFunction="sum" dataDxfId="2499" totalsRowDxfId="2498"/>
    <tableColumn id="7" name="JUN" totalsRowFunction="sum" dataDxfId="2497" totalsRowDxfId="2496"/>
    <tableColumn id="8" name="JUL" totalsRowFunction="sum" dataDxfId="2495" totalsRowDxfId="2494"/>
    <tableColumn id="9" name="AGO" totalsRowFunction="sum" dataDxfId="2493" totalsRowDxfId="2492"/>
    <tableColumn id="10" name="SET" totalsRowFunction="sum" dataDxfId="2491" totalsRowDxfId="2490"/>
    <tableColumn id="11" name="OUT" totalsRowFunction="sum" dataDxfId="2489" totalsRowDxfId="2488"/>
    <tableColumn id="12" name="NOV" totalsRowFunction="sum" dataDxfId="2487" totalsRowDxfId="2486"/>
    <tableColumn id="13" name="DEZ" totalsRowFunction="sum" dataDxfId="2485" totalsRowDxfId="2484"/>
    <tableColumn id="14" name="2019" totalsRowFunction="sum" dataDxfId="2483" totalsRowDxfId="2482">
      <calculatedColumnFormula>SUM(Tabela25689[[#This Row],[JAN]:[DEZ]])</calculatedColumnFormula>
    </tableColumn>
    <tableColumn id="15" name="2019 [%]" dataDxfId="2481" totalsRowDxfId="2480" dataCellStyle="Porcentagem">
      <calculatedColumnFormula>Tabela25689[[#This Row],[2019]]/Tabela25689[[#Totals],[2019]]</calculatedColumnFormula>
    </tableColumn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84" name="Tabela2568910" displayName="Tabela2568910" ref="A56:O61" totalsRowCount="1" headerRowDxfId="2479" dataDxfId="2478">
  <autoFilter ref="A56:O60"/>
  <tableColumns count="15">
    <tableColumn id="1" name="DESCRIÇÃO" dataDxfId="2477" totalsRowDxfId="2476"/>
    <tableColumn id="2" name="JAN" totalsRowFunction="sum" dataDxfId="2475" totalsRowDxfId="2474"/>
    <tableColumn id="3" name="FEV" totalsRowFunction="sum" dataDxfId="2473" totalsRowDxfId="2472"/>
    <tableColumn id="4" name="MAR" totalsRowFunction="sum" dataDxfId="2471" totalsRowDxfId="2470"/>
    <tableColumn id="5" name="ABR" totalsRowFunction="sum" dataDxfId="2469" totalsRowDxfId="2468"/>
    <tableColumn id="6" name="MAI" totalsRowFunction="sum" dataDxfId="2467" totalsRowDxfId="2466"/>
    <tableColumn id="7" name="JUN" totalsRowFunction="sum" dataDxfId="2465" totalsRowDxfId="2464"/>
    <tableColumn id="8" name="JUL" totalsRowFunction="sum" dataDxfId="2463" totalsRowDxfId="2462"/>
    <tableColumn id="9" name="AGO" totalsRowFunction="sum" dataDxfId="2461" totalsRowDxfId="2460"/>
    <tableColumn id="10" name="SET" totalsRowFunction="sum" dataDxfId="2459" totalsRowDxfId="2458"/>
    <tableColumn id="11" name="OUT" totalsRowFunction="sum" dataDxfId="2457" totalsRowDxfId="2456"/>
    <tableColumn id="12" name="NOV" totalsRowFunction="sum" dataDxfId="2455" totalsRowDxfId="2454"/>
    <tableColumn id="13" name="DEZ" totalsRowFunction="sum" dataDxfId="2453" totalsRowDxfId="2452"/>
    <tableColumn id="14" name="2019" totalsRowFunction="sum" dataDxfId="2451" totalsRowDxfId="2450">
      <calculatedColumnFormula>SUM(Tabela2568910[[#This Row],[JAN]:[DEZ]])</calculatedColumnFormula>
    </tableColumn>
    <tableColumn id="15" name="2019 [%]" dataDxfId="2449" totalsRowDxfId="2448" dataCellStyle="Porcentagem">
      <calculatedColumnFormula>Tabela2568910[[#This Row],[2019]]/Tabela2568910[[#Totals],[2019]]</calculatedColumnFormula>
    </tableColumn>
  </tableColumns>
  <tableStyleInfo name="TableStyleMedium14" showFirstColumn="0" showLastColumn="0" showRowStripes="1" showColumnStripes="0"/>
</table>
</file>

<file path=xl/tables/table28.xml><?xml version="1.0" encoding="utf-8"?>
<table xmlns="http://schemas.openxmlformats.org/spreadsheetml/2006/main" id="40" name="PCR" displayName="PCR" ref="A16:O24" totalsRowCount="1" headerRowDxfId="2447" dataDxfId="2446">
  <autoFilter ref="A16:O23"/>
  <tableColumns count="15">
    <tableColumn id="1" name="Especialidades" dataDxfId="2445" totalsRowDxfId="2444"/>
    <tableColumn id="2" name="JAN" totalsRowFunction="custom" dataDxfId="2443" totalsRowDxfId="2442">
      <totalsRowFormula>SUM(PCR[JAN])</totalsRowFormula>
    </tableColumn>
    <tableColumn id="3" name="FEV" totalsRowFunction="custom" dataDxfId="2441" totalsRowDxfId="2440">
      <totalsRowFormula>SUM(PCR[FEV])</totalsRowFormula>
    </tableColumn>
    <tableColumn id="4" name="MAR" totalsRowFunction="custom" dataDxfId="2439" totalsRowDxfId="2438">
      <totalsRowFormula>SUM(PCR[MAR])</totalsRowFormula>
    </tableColumn>
    <tableColumn id="5" name="ABR" totalsRowFunction="custom" dataDxfId="2437" totalsRowDxfId="2436">
      <totalsRowFormula>SUM(PCR[ABR])</totalsRowFormula>
    </tableColumn>
    <tableColumn id="6" name="MAI" totalsRowFunction="custom" dataDxfId="2435" totalsRowDxfId="2434">
      <totalsRowFormula>SUM(PCR[MAI])</totalsRowFormula>
    </tableColumn>
    <tableColumn id="7" name="JUN" totalsRowFunction="custom" dataDxfId="2433" totalsRowDxfId="2432">
      <totalsRowFormula>SUM(PCR[JUN])</totalsRowFormula>
    </tableColumn>
    <tableColumn id="8" name="JUL" totalsRowFunction="custom" dataDxfId="2431" totalsRowDxfId="2430">
      <totalsRowFormula>SUM(PCR[JUL])</totalsRowFormula>
    </tableColumn>
    <tableColumn id="9" name="AGO" totalsRowFunction="custom" dataDxfId="2429" totalsRowDxfId="2428">
      <totalsRowFormula>SUM(PCR[AGO])</totalsRowFormula>
    </tableColumn>
    <tableColumn id="10" name="SET" totalsRowFunction="custom" dataDxfId="2427" totalsRowDxfId="2426">
      <totalsRowFormula>SUM(PCR[SET])</totalsRowFormula>
    </tableColumn>
    <tableColumn id="11" name="OUT" totalsRowFunction="custom" dataDxfId="2425" totalsRowDxfId="2424">
      <totalsRowFormula>SUM(PCR[OUT])</totalsRowFormula>
    </tableColumn>
    <tableColumn id="12" name="NOV" totalsRowFunction="custom" dataDxfId="2423" totalsRowDxfId="2422">
      <totalsRowFormula>SUM(PCR[NOV])</totalsRowFormula>
    </tableColumn>
    <tableColumn id="13" name="DEZ" totalsRowFunction="custom" dataDxfId="2421" totalsRowDxfId="2420">
      <totalsRowFormula>SUM(PCR[DEZ])</totalsRowFormula>
    </tableColumn>
    <tableColumn id="14" name="2019" totalsRowFunction="custom" dataDxfId="2419" totalsRowDxfId="2418">
      <calculatedColumnFormula>SUM(PCR[[#This Row],[JAN]:[DEZ]])</calculatedColumnFormula>
      <totalsRowFormula>SUM(PCR[2019])</totalsRowFormula>
    </tableColumn>
    <tableColumn id="15" name="2019 (%)" totalsRowFunction="custom" dataDxfId="2417" totalsRowDxfId="2416" dataCellStyle="Porcentagem">
      <calculatedColumnFormula>PCR[[#This Row],[2019]]/PCR[[#Totals],[2019]]</calculatedColumnFormula>
      <totalsRowFormula>SUM(PCR[2019 (%)])</totalsRowFormula>
    </tableColumn>
  </tableColumns>
  <tableStyleInfo name="TableStyleMedium14" showFirstColumn="0" showLastColumn="0" showRowStripes="1" showColumnStripes="0"/>
</table>
</file>

<file path=xl/tables/table29.xml><?xml version="1.0" encoding="utf-8"?>
<table xmlns="http://schemas.openxmlformats.org/spreadsheetml/2006/main" id="1" name="PCER" displayName="PCER" ref="A39:O47" totalsRowCount="1" headerRowDxfId="2415" dataDxfId="2414">
  <autoFilter ref="A39:O46"/>
  <tableColumns count="15">
    <tableColumn id="1" name="Especialidades" dataDxfId="2413" totalsRowDxfId="2412"/>
    <tableColumn id="2" name="JAN" totalsRowFunction="sum" dataDxfId="2411" totalsRowDxfId="2410"/>
    <tableColumn id="3" name="FEV" totalsRowFunction="sum" dataDxfId="2409" totalsRowDxfId="2408"/>
    <tableColumn id="4" name="MAR" totalsRowFunction="sum" dataDxfId="2407" totalsRowDxfId="2406"/>
    <tableColumn id="5" name="ABR" totalsRowFunction="sum" dataDxfId="2405" totalsRowDxfId="2404"/>
    <tableColumn id="6" name="MAI" totalsRowFunction="sum" dataDxfId="2403" totalsRowDxfId="2402"/>
    <tableColumn id="7" name="JUN" totalsRowFunction="sum" dataDxfId="2401" totalsRowDxfId="2400"/>
    <tableColumn id="8" name="JUL" totalsRowFunction="sum" dataDxfId="2399" totalsRowDxfId="2398"/>
    <tableColumn id="9" name="AGO" totalsRowFunction="sum" dataDxfId="2397" totalsRowDxfId="2396"/>
    <tableColumn id="10" name="SET" totalsRowFunction="sum" dataDxfId="2395" totalsRowDxfId="2394"/>
    <tableColumn id="11" name="OUT" totalsRowFunction="sum" dataDxfId="2393" totalsRowDxfId="2392"/>
    <tableColumn id="12" name="NOV" totalsRowFunction="sum" dataDxfId="2391" totalsRowDxfId="2390"/>
    <tableColumn id="13" name="DEZ" totalsRowFunction="sum" dataDxfId="2389" totalsRowDxfId="2388"/>
    <tableColumn id="14" name="2019" totalsRowFunction="sum" dataDxfId="2387" totalsRowDxfId="2386">
      <calculatedColumnFormula>SUM(PCER[[#This Row],[JAN]:[DEZ]])</calculatedColumnFormula>
    </tableColumn>
    <tableColumn id="15" name="2019 (%)" totalsRowFunction="sum" dataDxfId="2385" totalsRowDxfId="2384" dataCellStyle="Porcentagem">
      <calculatedColumnFormula>PCER[[#This Row],[2019]]/PCER[[#Totals],[2019]]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5" name="LeitoDia" displayName="LeitoDia" ref="A63:N73" totalsRowShown="0" headerRowDxfId="3011" dataDxfId="3010">
  <autoFilter ref="A63:N73"/>
  <tableColumns count="14">
    <tableColumn id="1" name="UNIDADE" dataDxfId="3009"/>
    <tableColumn id="2" name="JAN" dataDxfId="3008"/>
    <tableColumn id="3" name="FEV" dataDxfId="3007"/>
    <tableColumn id="4" name="MAR" dataDxfId="3006"/>
    <tableColumn id="5" name="ABR" dataDxfId="3005"/>
    <tableColumn id="6" name="MAI" dataDxfId="3004"/>
    <tableColumn id="7" name="JUN" dataDxfId="3003"/>
    <tableColumn id="8" name="JUL" dataDxfId="3002"/>
    <tableColumn id="9" name="AGO" dataDxfId="3001"/>
    <tableColumn id="10" name="SET" dataDxfId="3000"/>
    <tableColumn id="11" name="OUT" dataDxfId="2999"/>
    <tableColumn id="12" name="NOV" dataDxfId="2998"/>
    <tableColumn id="13" name="DEZ" dataDxfId="2997"/>
    <tableColumn id="14" name="2019" dataDxfId="2996">
      <calculatedColumnFormula>SUM(LeitoDia[[#This Row],[JAN]:[DEZ]])</calculatedColumnFormula>
    </tableColumn>
  </tableColumns>
  <tableStyleInfo name="TableStyleMedium14" showFirstColumn="0" showLastColumn="0" showRowStripes="1" showColumnStripes="0"/>
</table>
</file>

<file path=xl/tables/table30.xml><?xml version="1.0" encoding="utf-8"?>
<table xmlns="http://schemas.openxmlformats.org/spreadsheetml/2006/main" id="49" name="PCUR" displayName="PCUR" ref="A62:O70" totalsRowCount="1" headerRowDxfId="2383" dataDxfId="2382">
  <autoFilter ref="A62:O69"/>
  <tableColumns count="15">
    <tableColumn id="1" name="Especialidades" dataDxfId="2381" totalsRowDxfId="2380"/>
    <tableColumn id="2" name="JAN" totalsRowFunction="sum" dataDxfId="2379" totalsRowDxfId="2378"/>
    <tableColumn id="3" name="FEV" totalsRowFunction="sum" dataDxfId="2377" totalsRowDxfId="2376"/>
    <tableColumn id="4" name="MAR" totalsRowFunction="sum" dataDxfId="2375" totalsRowDxfId="2374"/>
    <tableColumn id="5" name="ABR" totalsRowFunction="sum" dataDxfId="2373" totalsRowDxfId="2372"/>
    <tableColumn id="6" name="MAI" totalsRowFunction="sum" dataDxfId="2371" totalsRowDxfId="2370"/>
    <tableColumn id="7" name="JUN" totalsRowFunction="sum" dataDxfId="2369" totalsRowDxfId="2368"/>
    <tableColumn id="8" name="JUL" totalsRowFunction="sum" dataDxfId="2367" totalsRowDxfId="2366"/>
    <tableColumn id="9" name="AGO" totalsRowFunction="sum" dataDxfId="2365" totalsRowDxfId="2364"/>
    <tableColumn id="10" name="SET" totalsRowFunction="sum" dataDxfId="2363" totalsRowDxfId="2362"/>
    <tableColumn id="11" name="OUT" totalsRowFunction="sum" dataDxfId="2361" totalsRowDxfId="2360"/>
    <tableColumn id="12" name="NOV" totalsRowFunction="sum" dataDxfId="2359" totalsRowDxfId="2358"/>
    <tableColumn id="13" name="DEZ" totalsRowFunction="sum" dataDxfId="2357" totalsRowDxfId="2356"/>
    <tableColumn id="14" name="2019" totalsRowFunction="sum" dataDxfId="2355" totalsRowDxfId="2354">
      <calculatedColumnFormula>SUM(PCUR[[#This Row],[JAN]:[DEZ]])</calculatedColumnFormula>
    </tableColumn>
    <tableColumn id="15" name="2019 (%)" dataDxfId="2353" totalsRowDxfId="2352" dataCellStyle="Porcentagem">
      <calculatedColumnFormula>PCUR[[#This Row],[2019]]/PCUR[[#Totals],[2019]]</calculatedColumnFormula>
    </tableColumn>
  </tableColumns>
  <tableStyleInfo name="TableStyleMedium12" showFirstColumn="0" showLastColumn="0" showRowStripes="1" showColumnStripes="0"/>
</table>
</file>

<file path=xl/tables/table31.xml><?xml version="1.0" encoding="utf-8"?>
<table xmlns="http://schemas.openxmlformats.org/spreadsheetml/2006/main" id="75" name="ACR" displayName="ACR" ref="A3:O11" totalsRowCount="1" headerRowDxfId="2351" dataDxfId="2350">
  <autoFilter ref="A3:O10"/>
  <tableColumns count="15">
    <tableColumn id="1" name="Especialidades" dataDxfId="2349" totalsRowDxfId="2348"/>
    <tableColumn id="2" name="JAN" totalsRowFunction="sum" dataDxfId="2347" totalsRowDxfId="2346"/>
    <tableColumn id="3" name="FEV" totalsRowFunction="sum" dataDxfId="2345" totalsRowDxfId="2344"/>
    <tableColumn id="4" name="MAR" totalsRowFunction="sum" dataDxfId="2343" totalsRowDxfId="2342"/>
    <tableColumn id="5" name="ABR" totalsRowFunction="sum" dataDxfId="2341" totalsRowDxfId="2340"/>
    <tableColumn id="6" name="MAI" totalsRowFunction="sum" dataDxfId="2339" totalsRowDxfId="2338"/>
    <tableColumn id="7" name="JUN" totalsRowFunction="sum" dataDxfId="2337" totalsRowDxfId="2336"/>
    <tableColumn id="8" name="JUL" totalsRowFunction="sum" dataDxfId="2335" totalsRowDxfId="2334"/>
    <tableColumn id="9" name="AGO" totalsRowFunction="sum" dataDxfId="2333" totalsRowDxfId="2332"/>
    <tableColumn id="10" name="SET" totalsRowFunction="sum" dataDxfId="2331" totalsRowDxfId="2330"/>
    <tableColumn id="11" name="OUT" totalsRowFunction="sum" dataDxfId="2329" totalsRowDxfId="2328"/>
    <tableColumn id="12" name="NOV" totalsRowFunction="sum" dataDxfId="2327" totalsRowDxfId="2326"/>
    <tableColumn id="13" name="DEZ" totalsRowFunction="sum" dataDxfId="2325" totalsRowDxfId="2324"/>
    <tableColumn id="14" name="2019" totalsRowFunction="sum" dataDxfId="2323" totalsRowDxfId="2322">
      <calculatedColumnFormula>SUM(ACR[[#This Row],[JAN]:[DEZ]])</calculatedColumnFormula>
    </tableColumn>
    <tableColumn id="15" name="2019 (%)" dataDxfId="2321" totalsRowDxfId="2320" dataCellStyle="Porcentagem">
      <calculatedColumnFormula>ACR[[#This Row],[2019]]/ACR[[#Totals],[2019]]</calculatedColumnFormula>
    </tableColumn>
  </tableColumns>
  <tableStyleInfo name="TableStyleMedium28" showFirstColumn="0" showLastColumn="0" showRowStripes="1" showColumnStripes="0"/>
</table>
</file>

<file path=xl/tables/table32.xml><?xml version="1.0" encoding="utf-8"?>
<table xmlns="http://schemas.openxmlformats.org/spreadsheetml/2006/main" id="86" name="ACER" displayName="ACER" ref="A27:O35" totalsRowCount="1" headerRowDxfId="2319" dataDxfId="2318">
  <autoFilter ref="A27:O34"/>
  <tableColumns count="15">
    <tableColumn id="1" name="Especialidades" dataDxfId="2317" totalsRowDxfId="2316"/>
    <tableColumn id="2" name="JAN" totalsRowFunction="sum" dataDxfId="2315" totalsRowDxfId="2314"/>
    <tableColumn id="3" name="FEV" totalsRowFunction="sum" dataDxfId="2313" totalsRowDxfId="2312"/>
    <tableColumn id="4" name="MAR" totalsRowFunction="sum" dataDxfId="2311" totalsRowDxfId="2310"/>
    <tableColumn id="5" name="ABR" totalsRowFunction="sum" dataDxfId="2309" totalsRowDxfId="2308"/>
    <tableColumn id="6" name="MAI" totalsRowFunction="sum" dataDxfId="2307" totalsRowDxfId="2306"/>
    <tableColumn id="7" name="JUN" totalsRowFunction="sum" dataDxfId="2305" totalsRowDxfId="2304"/>
    <tableColumn id="8" name="JUL" totalsRowFunction="sum" dataDxfId="2303" totalsRowDxfId="2302"/>
    <tableColumn id="9" name="AGO" totalsRowFunction="sum" dataDxfId="2301" totalsRowDxfId="2300"/>
    <tableColumn id="10" name="SET" totalsRowFunction="sum" dataDxfId="2299" totalsRowDxfId="2298"/>
    <tableColumn id="11" name="OUT" totalsRowFunction="sum" dataDxfId="2297" totalsRowDxfId="2296"/>
    <tableColumn id="12" name="NOV" totalsRowFunction="sum" dataDxfId="2295" totalsRowDxfId="2294"/>
    <tableColumn id="13" name="DEZ" totalsRowFunction="sum" dataDxfId="2293" totalsRowDxfId="2292"/>
    <tableColumn id="14" name="2019" totalsRowFunction="sum" dataDxfId="2291" totalsRowDxfId="2290">
      <calculatedColumnFormula>SUM(ACER[[#This Row],[JAN]:[DEZ]])</calculatedColumnFormula>
    </tableColumn>
    <tableColumn id="15" name="2019 (%)" totalsRowFunction="sum" dataDxfId="2289" totalsRowDxfId="2288" dataCellStyle="Porcentagem">
      <calculatedColumnFormula>ACER[[#This Row],[2019]]/ACER[[#Totals],[2019]]</calculatedColumnFormula>
    </tableColumn>
  </tableColumns>
  <tableStyleInfo name="TableStyleMedium23" showFirstColumn="0" showLastColumn="0" showRowStripes="1" showColumnStripes="0"/>
</table>
</file>

<file path=xl/tables/table33.xml><?xml version="1.0" encoding="utf-8"?>
<table xmlns="http://schemas.openxmlformats.org/spreadsheetml/2006/main" id="87" name="ACUR" displayName="ACUR" ref="A50:O58" totalsRowCount="1" headerRowDxfId="2287" dataDxfId="2286">
  <autoFilter ref="A50:O57"/>
  <tableColumns count="15">
    <tableColumn id="1" name="Especialidades" dataDxfId="2285" totalsRowDxfId="2284"/>
    <tableColumn id="2" name="JAN" totalsRowFunction="sum" dataDxfId="2283" totalsRowDxfId="2282"/>
    <tableColumn id="3" name="FEV" totalsRowFunction="sum" dataDxfId="2281" totalsRowDxfId="2280"/>
    <tableColumn id="4" name="MAR" totalsRowFunction="sum" dataDxfId="2279" totalsRowDxfId="2278"/>
    <tableColumn id="5" name="ABR" totalsRowFunction="sum" dataDxfId="2277" totalsRowDxfId="2276"/>
    <tableColumn id="6" name="MAI" totalsRowFunction="sum" dataDxfId="2275" totalsRowDxfId="2274"/>
    <tableColumn id="7" name="JUN" totalsRowFunction="sum" dataDxfId="2273" totalsRowDxfId="2272"/>
    <tableColumn id="8" name="JUL" totalsRowFunction="sum" dataDxfId="2271" totalsRowDxfId="2270"/>
    <tableColumn id="9" name="AGO" totalsRowFunction="sum" dataDxfId="2269" totalsRowDxfId="2268"/>
    <tableColumn id="10" name="SET" totalsRowFunction="sum" dataDxfId="2267" totalsRowDxfId="2266"/>
    <tableColumn id="11" name="OUT" totalsRowFunction="sum" dataDxfId="2265" totalsRowDxfId="2264"/>
    <tableColumn id="12" name="NOV" totalsRowFunction="sum" dataDxfId="2263" totalsRowDxfId="2262"/>
    <tableColumn id="13" name="DEZ" totalsRowFunction="sum" dataDxfId="2261" totalsRowDxfId="2260"/>
    <tableColumn id="14" name="2019" totalsRowFunction="sum" dataDxfId="2259" totalsRowDxfId="2258">
      <calculatedColumnFormula>SUM(ACUR[[#This Row],[JAN]:[DEZ]])</calculatedColumnFormula>
    </tableColumn>
    <tableColumn id="15" name="2019 (%)" totalsRowFunction="sum" dataDxfId="2257" totalsRowDxfId="2256" dataCellStyle="Porcentagem">
      <calculatedColumnFormula>ACUR[[#This Row],[2019]]/ACUR[[#Totals],[2019]]</calculatedColumnFormula>
    </tableColumn>
  </tableColumns>
  <tableStyleInfo name="TableStyleMedium26" showFirstColumn="0" showLastColumn="0" showRowStripes="1" showColumnStripes="0"/>
</table>
</file>

<file path=xl/tables/table34.xml><?xml version="1.0" encoding="utf-8"?>
<table xmlns="http://schemas.openxmlformats.org/spreadsheetml/2006/main" id="2" name="EXAMES" displayName="EXAMES" ref="A2:N11" totalsRowCount="1" headerRowDxfId="2255" dataDxfId="2254">
  <autoFilter ref="A2:N10"/>
  <tableColumns count="14">
    <tableColumn id="1" name="Exames" dataDxfId="2253" totalsRowDxfId="2252"/>
    <tableColumn id="2" name="JAN" totalsRowFunction="sum" dataDxfId="2251" totalsRowDxfId="2250"/>
    <tableColumn id="3" name="FEV" totalsRowFunction="sum" dataDxfId="2249" totalsRowDxfId="2248"/>
    <tableColumn id="4" name="MAR" totalsRowFunction="sum" dataDxfId="2247" totalsRowDxfId="2246"/>
    <tableColumn id="5" name="ABR" totalsRowFunction="sum" dataDxfId="2245" totalsRowDxfId="2244"/>
    <tableColumn id="6" name="MAI" totalsRowFunction="sum" dataDxfId="2243" totalsRowDxfId="2242"/>
    <tableColumn id="7" name="JUN" totalsRowFunction="sum" dataDxfId="2241" totalsRowDxfId="2240"/>
    <tableColumn id="8" name="JUL" totalsRowFunction="sum" dataDxfId="2239" totalsRowDxfId="2238"/>
    <tableColumn id="9" name="AGO" totalsRowFunction="sum" dataDxfId="2237" totalsRowDxfId="2236"/>
    <tableColumn id="10" name="SET" totalsRowFunction="sum" dataDxfId="2235" totalsRowDxfId="2234"/>
    <tableColumn id="11" name="OUT" totalsRowFunction="sum" dataDxfId="2233" totalsRowDxfId="2232"/>
    <tableColumn id="12" name="NOV" totalsRowFunction="sum" totalsRowDxfId="2231"/>
    <tableColumn id="13" name="DEZ" totalsRowFunction="sum" dataDxfId="2230" totalsRowDxfId="2229"/>
    <tableColumn id="14" name="2019" totalsRowFunction="sum" dataDxfId="2228" totalsRowDxfId="2227">
      <calculatedColumnFormula>SUM(EXAMES[[#This Row],[JAN]:[DEZ]])</calculatedColumnFormula>
    </tableColumn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12" name="CIR_ESPEC13" displayName="CIR_ESPEC13" ref="A3:O6" totalsRowCount="1" headerRowDxfId="2226" dataDxfId="2225">
  <autoFilter ref="A3:O5"/>
  <tableColumns count="15">
    <tableColumn id="1" name="Especialidades" dataDxfId="2224" totalsRowDxfId="2223"/>
    <tableColumn id="2" name="JAN" totalsRowFunction="custom" dataDxfId="2222" totalsRowDxfId="2221">
      <totalsRowFormula>SUM(CIR_ESPEC13[JAN])</totalsRowFormula>
    </tableColumn>
    <tableColumn id="3" name="FEV" totalsRowFunction="custom" dataDxfId="2220" totalsRowDxfId="2219">
      <totalsRowFormula>SUM(CIR_ESPEC13[FEV])</totalsRowFormula>
    </tableColumn>
    <tableColumn id="4" name="MAR" totalsRowFunction="custom" dataDxfId="2218" totalsRowDxfId="2217">
      <totalsRowFormula>SUM(CIR_ESPEC13[MAR])</totalsRowFormula>
    </tableColumn>
    <tableColumn id="5" name="ABR" totalsRowFunction="custom" dataDxfId="2216" totalsRowDxfId="2215">
      <totalsRowFormula>SUM(CIR_ESPEC13[ABR])</totalsRowFormula>
    </tableColumn>
    <tableColumn id="6" name="MAI" totalsRowFunction="custom" dataDxfId="2214" totalsRowDxfId="2213">
      <totalsRowFormula>SUM(CIR_ESPEC13[MAI])</totalsRowFormula>
    </tableColumn>
    <tableColumn id="7" name="JUN" totalsRowFunction="custom" dataDxfId="2212" totalsRowDxfId="2211">
      <totalsRowFormula>SUM(CIR_ESPEC13[JUN])</totalsRowFormula>
    </tableColumn>
    <tableColumn id="8" name="JUL" totalsRowFunction="custom" dataDxfId="2210" totalsRowDxfId="2209">
      <totalsRowFormula>SUM(CIR_ESPEC13[JUL])</totalsRowFormula>
    </tableColumn>
    <tableColumn id="9" name="AGO" totalsRowFunction="custom" dataDxfId="2208" totalsRowDxfId="2207">
      <totalsRowFormula>SUM(CIR_ESPEC13[AGO])</totalsRowFormula>
    </tableColumn>
    <tableColumn id="10" name="SET" totalsRowFunction="custom" dataDxfId="2206" totalsRowDxfId="2205">
      <totalsRowFormula>SUM(CIR_ESPEC13[SET])</totalsRowFormula>
    </tableColumn>
    <tableColumn id="11" name="OUT" totalsRowFunction="custom" dataDxfId="2204" totalsRowDxfId="2203">
      <totalsRowFormula>SUM(CIR_ESPEC13[OUT])</totalsRowFormula>
    </tableColumn>
    <tableColumn id="12" name="NOV" totalsRowFunction="custom" dataDxfId="2202" totalsRowDxfId="2201">
      <totalsRowFormula>SUM(CIR_ESPEC13[NOV])</totalsRowFormula>
    </tableColumn>
    <tableColumn id="13" name="DEZ" totalsRowFunction="custom" dataDxfId="2200" totalsRowDxfId="2199">
      <totalsRowFormula>SUM(CIR_ESPEC13[DEZ])</totalsRowFormula>
    </tableColumn>
    <tableColumn id="14" name="2019" totalsRowFunction="custom" dataDxfId="2198" totalsRowDxfId="2197">
      <calculatedColumnFormula>SUM(CIR_ESPEC13[[#This Row],[JAN]:[DEZ]])</calculatedColumnFormula>
      <totalsRowFormula>SUM(CIR_ESPEC13[2019])</totalsRowFormula>
    </tableColumn>
    <tableColumn id="15" name="2019 (%)" totalsRowFunction="custom" dataDxfId="2196" totalsRowDxfId="2195" dataCellStyle="Porcentagem">
      <calculatedColumnFormula>CIR_ESPEC13[[#This Row],[2019]]/CIR_ESPEC13[[#Totals],[2019]]</calculatedColumnFormula>
      <totalsRowFormula>SUM(CIR_ESPEC13[2019 (%)])</totalsRowFormula>
    </tableColumn>
  </tableColumns>
  <tableStyleInfo name="TableStyleMedium14" showFirstColumn="0" showLastColumn="0" showRowStripes="1" showColumnStripes="0"/>
</table>
</file>

<file path=xl/tables/table36.xml><?xml version="1.0" encoding="utf-8"?>
<table xmlns="http://schemas.openxmlformats.org/spreadsheetml/2006/main" id="70" name="TEvoG" displayName="TEvoG" ref="A8:O11" totalsRowCount="1" headerRowDxfId="2194" dataDxfId="2193">
  <autoFilter ref="A8:O10"/>
  <tableColumns count="15">
    <tableColumn id="1" name="ESPECIALIDADE" dataDxfId="2192" totalsRowDxfId="2191"/>
    <tableColumn id="2" name="JAN" totalsRowFunction="sum" dataDxfId="2190" totalsRowDxfId="2189"/>
    <tableColumn id="3" name="FEV" totalsRowFunction="sum" dataDxfId="2188" totalsRowDxfId="2187"/>
    <tableColumn id="4" name="MAR" totalsRowFunction="sum" dataDxfId="2186" totalsRowDxfId="2185"/>
    <tableColumn id="5" name="ABR" totalsRowFunction="sum" dataDxfId="2184" totalsRowDxfId="2183"/>
    <tableColumn id="6" name="MAI" totalsRowFunction="sum" dataDxfId="2182" totalsRowDxfId="2181"/>
    <tableColumn id="7" name="JUN" totalsRowFunction="sum" dataDxfId="2180" totalsRowDxfId="2179"/>
    <tableColumn id="8" name="JUL" totalsRowFunction="sum" dataDxfId="2178" totalsRowDxfId="2177"/>
    <tableColumn id="9" name="AGO" totalsRowFunction="sum" dataDxfId="2176" totalsRowDxfId="2175"/>
    <tableColumn id="10" name="SET" totalsRowFunction="sum" dataDxfId="2174" totalsRowDxfId="2173"/>
    <tableColumn id="11" name="OUT" totalsRowFunction="sum" dataDxfId="2172" totalsRowDxfId="2171"/>
    <tableColumn id="12" name="NOV" totalsRowFunction="sum" dataDxfId="2170" totalsRowDxfId="2169"/>
    <tableColumn id="13" name="DEZ" totalsRowFunction="sum" dataDxfId="2168" totalsRowDxfId="2167"/>
    <tableColumn id="14" name="2019" totalsRowFunction="sum" dataDxfId="2166" totalsRowDxfId="2165">
      <calculatedColumnFormula>SUM(TEvoG[[#This Row],[JAN]:[DEZ]])</calculatedColumnFormula>
    </tableColumn>
    <tableColumn id="15" name="2019 [%]" dataDxfId="2164" totalsRowDxfId="2163" dataCellStyle="Porcentagem">
      <calculatedColumnFormula>TEvoG[[#This Row],[2019]]/TEvoG[[#Totals],[2019]]</calculatedColumnFormula>
    </tableColumn>
  </tableColumns>
  <tableStyleInfo name="TableStyleMedium12" showFirstColumn="0" showLastColumn="0" showRowStripes="1" showColumnStripes="0"/>
</table>
</file>

<file path=xl/tables/table37.xml><?xml version="1.0" encoding="utf-8"?>
<table xmlns="http://schemas.openxmlformats.org/spreadsheetml/2006/main" id="65" name="Tabela266" displayName="Tabela266" ref="A2:N12" totalsRowCount="1" headerRowDxfId="2162" dataDxfId="2161">
  <autoFilter ref="A2:N11"/>
  <tableColumns count="14">
    <tableColumn id="1" name="UNIDADE" dataDxfId="2160" totalsRowDxfId="2159"/>
    <tableColumn id="2" name="JAN" totalsRowFunction="sum" dataDxfId="2158" totalsRowDxfId="2157"/>
    <tableColumn id="3" name="FEV" totalsRowFunction="sum" dataDxfId="2156" totalsRowDxfId="2155"/>
    <tableColumn id="4" name="MAR" totalsRowFunction="sum" dataDxfId="2154" totalsRowDxfId="2153"/>
    <tableColumn id="5" name="ABR" totalsRowFunction="sum" dataDxfId="2152" totalsRowDxfId="2151"/>
    <tableColumn id="6" name="MAI" totalsRowFunction="sum" dataDxfId="2150" totalsRowDxfId="2149"/>
    <tableColumn id="7" name="JUN" totalsRowFunction="sum" dataDxfId="2148" totalsRowDxfId="2147"/>
    <tableColumn id="8" name="JUL" totalsRowFunction="sum" dataDxfId="2146" totalsRowDxfId="2145"/>
    <tableColumn id="9" name="AGO" totalsRowFunction="sum" dataDxfId="2144" totalsRowDxfId="2143"/>
    <tableColumn id="10" name="SET" totalsRowFunction="sum" dataDxfId="2142" totalsRowDxfId="2141"/>
    <tableColumn id="11" name="OUT" totalsRowFunction="sum" dataDxfId="2140" totalsRowDxfId="2139"/>
    <tableColumn id="12" name="NOV" totalsRowFunction="sum" dataDxfId="2138" totalsRowDxfId="2137"/>
    <tableColumn id="13" name="DEZ" totalsRowFunction="sum" dataDxfId="2136" totalsRowDxfId="2135"/>
    <tableColumn id="14" name="2019" totalsRowFunction="sum" dataDxfId="2134" totalsRowDxfId="2133">
      <calculatedColumnFormula>SUM(Tabela266[[#This Row],[JAN]:[DEZ]])</calculatedColumnFormula>
    </tableColumn>
  </tableColumns>
  <tableStyleInfo name="TableStyleMedium14" showFirstColumn="0" showLastColumn="0" showRowStripes="1" showColumnStripes="0"/>
</table>
</file>

<file path=xl/tables/table38.xml><?xml version="1.0" encoding="utf-8"?>
<table xmlns="http://schemas.openxmlformats.org/spreadsheetml/2006/main" id="66" name="Tabela2467" displayName="Tabela2467" ref="A15:N25" totalsRowCount="1" headerRowDxfId="2132" dataDxfId="2131">
  <autoFilter ref="A15:N24"/>
  <tableColumns count="14">
    <tableColumn id="1" name="UNIDADE" dataDxfId="2130" totalsRowDxfId="2129"/>
    <tableColumn id="2" name="JAN" totalsRowFunction="sum" dataDxfId="2128" totalsRowDxfId="2127"/>
    <tableColumn id="3" name="FEV" totalsRowFunction="sum" dataDxfId="2126" totalsRowDxfId="2125"/>
    <tableColumn id="4" name="MAR" totalsRowFunction="sum" dataDxfId="2124" totalsRowDxfId="2123"/>
    <tableColumn id="5" name="ABR" totalsRowFunction="sum" dataDxfId="2122" totalsRowDxfId="2121"/>
    <tableColumn id="6" name="MAI" totalsRowFunction="sum" dataDxfId="2120" totalsRowDxfId="2119"/>
    <tableColumn id="7" name="JUN" totalsRowFunction="sum" dataDxfId="2118" totalsRowDxfId="2117"/>
    <tableColumn id="8" name="JUL" totalsRowFunction="sum" dataDxfId="2116" totalsRowDxfId="2115"/>
    <tableColumn id="9" name="AGO" totalsRowFunction="sum" dataDxfId="2114" totalsRowDxfId="2113"/>
    <tableColumn id="10" name="SET" totalsRowFunction="sum" dataDxfId="2112" totalsRowDxfId="2111"/>
    <tableColumn id="11" name="OUT" totalsRowFunction="sum" dataDxfId="2110" totalsRowDxfId="2109"/>
    <tableColumn id="12" name="NOV" totalsRowFunction="sum" dataDxfId="2108" totalsRowDxfId="2107"/>
    <tableColumn id="13" name="DEZ" totalsRowFunction="sum" dataDxfId="2106" totalsRowDxfId="2105"/>
    <tableColumn id="14" name="2019" totalsRowFunction="sum" dataDxfId="2104" totalsRowDxfId="2103">
      <calculatedColumnFormula>SUM(Tabela2467[[#This Row],[JAN]:[DEZ]])</calculatedColumnFormula>
    </tableColumn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72" name="Tabela245" displayName="Tabela245" ref="A28:N38" totalsRowCount="1" headerRowDxfId="2102" dataDxfId="2101">
  <autoFilter ref="A28:N37"/>
  <tableColumns count="14">
    <tableColumn id="1" name="UNIDADE" dataDxfId="2100" totalsRowDxfId="2099"/>
    <tableColumn id="2" name="JAN" totalsRowFunction="sum" dataDxfId="2098" totalsRowDxfId="2097"/>
    <tableColumn id="3" name="FEV" totalsRowFunction="sum" dataDxfId="2096" totalsRowDxfId="2095"/>
    <tableColumn id="4" name="MAR" totalsRowFunction="sum" dataDxfId="2094" totalsRowDxfId="2093"/>
    <tableColumn id="5" name="ABR" totalsRowFunction="sum" dataDxfId="2092" totalsRowDxfId="2091"/>
    <tableColumn id="6" name="MAI" totalsRowFunction="sum" dataDxfId="2090" totalsRowDxfId="2089"/>
    <tableColumn id="7" name="JUN" totalsRowFunction="sum" dataDxfId="2088" totalsRowDxfId="2087"/>
    <tableColumn id="8" name="JUL" totalsRowFunction="sum" dataDxfId="2086" totalsRowDxfId="2085"/>
    <tableColumn id="9" name="AGO" totalsRowFunction="sum" dataDxfId="2084" totalsRowDxfId="2083"/>
    <tableColumn id="10" name="SET" totalsRowFunction="sum" dataDxfId="2082" totalsRowDxfId="2081"/>
    <tableColumn id="11" name="OUT" totalsRowFunction="sum" dataDxfId="2080" totalsRowDxfId="2079"/>
    <tableColumn id="12" name="NOV" totalsRowFunction="sum" dataDxfId="2078" totalsRowDxfId="2077"/>
    <tableColumn id="13" name="DEZ" totalsRowFunction="sum" dataDxfId="2076" totalsRowDxfId="2075"/>
    <tableColumn id="14" name="2019" totalsRowFunction="sum" dataDxfId="2074" totalsRowDxfId="2073">
      <calculatedColumnFormula>SUM(Tabela245[[#This Row],[JAN]:[DEZ]])</calculatedColumnFormula>
    </tableColumn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id="37" name="MPacDia" displayName="MPacDia" ref="A88:N98" totalsRowShown="0" headerRowDxfId="2995" dataDxfId="2994">
  <autoFilter ref="A88:N98"/>
  <tableColumns count="14">
    <tableColumn id="1" name="UNIDADE" dataDxfId="2993"/>
    <tableColumn id="2" name="JAN" dataDxfId="2992">
      <calculatedColumnFormula>IF(B$1=0,0,B4/B$1)</calculatedColumnFormula>
    </tableColumn>
    <tableColumn id="3" name="FEV" dataDxfId="2991">
      <calculatedColumnFormula>IF(C$1=0,0,C4/C$1)</calculatedColumnFormula>
    </tableColumn>
    <tableColumn id="4" name="MAR" dataDxfId="2990">
      <calculatedColumnFormula>IF(D$1=0,0,D4/D$1)</calculatedColumnFormula>
    </tableColumn>
    <tableColumn id="5" name="ABR" dataDxfId="2989">
      <calculatedColumnFormula>IF(E$1=0,0,E4/E$1)</calculatedColumnFormula>
    </tableColumn>
    <tableColumn id="6" name="MAI" dataDxfId="2988">
      <calculatedColumnFormula>IF(F$1=0,0,F4/F$1)</calculatedColumnFormula>
    </tableColumn>
    <tableColumn id="7" name="JUN" dataDxfId="2987">
      <calculatedColumnFormula>IF(G$1=0,0,G4/G$1)</calculatedColumnFormula>
    </tableColumn>
    <tableColumn id="8" name="JUL" dataDxfId="2986">
      <calculatedColumnFormula>IF(H$1=0,0,H4/H$1)</calculatedColumnFormula>
    </tableColumn>
    <tableColumn id="9" name="AGO" dataDxfId="2985">
      <calculatedColumnFormula>IF(I$1=0,0,I4/I$1)</calculatedColumnFormula>
    </tableColumn>
    <tableColumn id="10" name="SET" dataDxfId="2984">
      <calculatedColumnFormula>IF(J$1=0,0,J4/J$1)</calculatedColumnFormula>
    </tableColumn>
    <tableColumn id="11" name="OUT" dataDxfId="2983">
      <calculatedColumnFormula>IF(K$1=0,0,K4/K$1)</calculatedColumnFormula>
    </tableColumn>
    <tableColumn id="12" name="NOV" dataDxfId="2982">
      <calculatedColumnFormula>IF(L$1=0,0,L4/L$1)</calculatedColumnFormula>
    </tableColumn>
    <tableColumn id="13" name="DEZ" dataDxfId="2981">
      <calculatedColumnFormula>IF(M$1=0,0,M4/M$1)</calculatedColumnFormula>
    </tableColumn>
    <tableColumn id="14" name="2019" dataDxfId="2980">
      <calculatedColumnFormula>IF(N$1=0,0,N4/N$1)</calculatedColumnFormula>
    </tableColumn>
  </tableColumns>
  <tableStyleInfo name="TableStyleLight21" showFirstColumn="0" showLastColumn="0" showRowStripes="1" showColumnStripes="0"/>
</table>
</file>

<file path=xl/tables/table40.xml><?xml version="1.0" encoding="utf-8"?>
<table xmlns="http://schemas.openxmlformats.org/spreadsheetml/2006/main" id="67" name="Tabela26668" displayName="Tabela26668" ref="A2:N12" totalsRowCount="1" headerRowDxfId="2072" dataDxfId="2071">
  <autoFilter ref="A2:N11"/>
  <tableColumns count="14">
    <tableColumn id="1" name="UNIDADE" dataDxfId="2070" totalsRowDxfId="2069"/>
    <tableColumn id="2" name="JAN" totalsRowFunction="sum" dataDxfId="2068" totalsRowDxfId="2067"/>
    <tableColumn id="3" name="FEV" totalsRowFunction="sum" dataDxfId="2066" totalsRowDxfId="2065"/>
    <tableColumn id="4" name="MAR" totalsRowFunction="sum" dataDxfId="2064" totalsRowDxfId="2063"/>
    <tableColumn id="5" name="ABR" totalsRowFunction="sum" dataDxfId="2062" totalsRowDxfId="2061"/>
    <tableColumn id="6" name="MAI" totalsRowFunction="sum" dataDxfId="2060" totalsRowDxfId="2059"/>
    <tableColumn id="7" name="JUN" totalsRowFunction="sum" dataDxfId="2058" totalsRowDxfId="2057"/>
    <tableColumn id="8" name="JUL" totalsRowFunction="sum" dataDxfId="2056" totalsRowDxfId="2055"/>
    <tableColumn id="9" name="AGO" totalsRowFunction="sum" dataDxfId="2054" totalsRowDxfId="2053"/>
    <tableColumn id="10" name="SET" totalsRowFunction="sum" dataDxfId="2052" totalsRowDxfId="2051"/>
    <tableColumn id="11" name="OUT" totalsRowFunction="sum" dataDxfId="2050" totalsRowDxfId="2049"/>
    <tableColumn id="12" name="NOV" totalsRowFunction="sum" dataDxfId="2048" totalsRowDxfId="2047"/>
    <tableColumn id="13" name="DEZ" totalsRowFunction="sum" dataDxfId="2046" totalsRowDxfId="2045"/>
    <tableColumn id="14" name="2019" totalsRowFunction="sum" dataDxfId="2044" totalsRowDxfId="2043">
      <calculatedColumnFormula>SUM(Tabela26668[[#This Row],[JAN]:[DEZ]])</calculatedColumnFormula>
    </tableColumn>
  </tableColumns>
  <tableStyleInfo name="TableStyleMedium14" showFirstColumn="0" showLastColumn="0" showRowStripes="1" showColumnStripes="0"/>
</table>
</file>

<file path=xl/tables/table41.xml><?xml version="1.0" encoding="utf-8"?>
<table xmlns="http://schemas.openxmlformats.org/spreadsheetml/2006/main" id="71" name="Tabela24" displayName="Tabela24" ref="A3:M4" totalsRowShown="0" headerRowDxfId="2042" dataDxfId="2041">
  <autoFilter ref="A3:M4"/>
  <tableColumns count="13">
    <tableColumn id="1" name="SITUAÇÃO" dataDxfId="2040" totalsRowDxfId="2039"/>
    <tableColumn id="2" name="JAN" dataDxfId="2038" totalsRowDxfId="2037"/>
    <tableColumn id="3" name="FEV" dataDxfId="2036" totalsRowDxfId="2035"/>
    <tableColumn id="4" name="MAR" dataDxfId="2034" totalsRowDxfId="2033"/>
    <tableColumn id="5" name="ABR" dataDxfId="2032" totalsRowDxfId="2031"/>
    <tableColumn id="6" name="MAI" dataDxfId="2030" totalsRowDxfId="2029"/>
    <tableColumn id="7" name="JUN" dataDxfId="2028" totalsRowDxfId="2027"/>
    <tableColumn id="8" name="JUL" dataDxfId="2026" totalsRowDxfId="2025"/>
    <tableColumn id="9" name="AGO" dataDxfId="2024" totalsRowDxfId="2023"/>
    <tableColumn id="10" name="SET" dataDxfId="2022" totalsRowDxfId="2021"/>
    <tableColumn id="11" name="OUT" dataDxfId="2020" totalsRowDxfId="2019"/>
    <tableColumn id="12" name="NOV" dataDxfId="2018" totalsRowDxfId="2017"/>
    <tableColumn id="13" name="DEZ" dataDxfId="2016" totalsRowDxfId="2015"/>
  </tableColumns>
  <tableStyleInfo name="TableStyleMedium14" showFirstColumn="0" showLastColumn="0" showRowStripes="1" showColumnStripes="0"/>
</table>
</file>

<file path=xl/tables/table42.xml><?xml version="1.0" encoding="utf-8"?>
<table xmlns="http://schemas.openxmlformats.org/spreadsheetml/2006/main" id="13" name="Tabela27114" displayName="Tabela27114" ref="A8:N15" totalsRowCount="1" headerRowDxfId="2014" dataDxfId="2013">
  <autoFilter ref="A8:N14"/>
  <tableColumns count="14">
    <tableColumn id="1" name="SITUAÇÃO" dataDxfId="2012" totalsRowDxfId="2011"/>
    <tableColumn id="2" name="JAN" totalsRowFunction="sum" dataDxfId="2010" totalsRowDxfId="2009"/>
    <tableColumn id="3" name="FEV" totalsRowFunction="sum" dataDxfId="2008" totalsRowDxfId="2007"/>
    <tableColumn id="4" name="MAR" totalsRowFunction="sum" dataDxfId="2006" totalsRowDxfId="2005"/>
    <tableColumn id="5" name="ABR" totalsRowFunction="sum" dataDxfId="2004" totalsRowDxfId="2003"/>
    <tableColumn id="6" name="MAI" totalsRowFunction="sum" dataDxfId="2002" totalsRowDxfId="2001"/>
    <tableColumn id="7" name="JUN" totalsRowFunction="sum" dataDxfId="2000" totalsRowDxfId="1999"/>
    <tableColumn id="8" name="JUL" totalsRowFunction="sum" dataDxfId="1998" totalsRowDxfId="1997"/>
    <tableColumn id="9" name="AGO" totalsRowFunction="sum" dataDxfId="1996" totalsRowDxfId="1995"/>
    <tableColumn id="10" name="SET" totalsRowFunction="sum" dataDxfId="1994" totalsRowDxfId="1993"/>
    <tableColumn id="11" name="OUT" totalsRowFunction="sum" dataDxfId="1992" totalsRowDxfId="1991"/>
    <tableColumn id="12" name="NOV" totalsRowFunction="sum" dataDxfId="1990" totalsRowDxfId="1989"/>
    <tableColumn id="13" name="DEZ" totalsRowFunction="sum" dataDxfId="1988" totalsRowDxfId="1987"/>
    <tableColumn id="14" name="2019" totalsRowFunction="sum" dataDxfId="1986" totalsRowDxfId="1985">
      <calculatedColumnFormula>SUM(Tabela27114[[#This Row],[JAN]:[DEZ]])</calculatedColumnFormula>
    </tableColumn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69" name="Tabela270" displayName="Tabela270" ref="B4:P7" totalsRowCount="1" headerRowDxfId="1984" dataDxfId="1983">
  <autoFilter ref="B4:P6"/>
  <tableColumns count="15">
    <tableColumn id="1" name="SITUAÇÃO AIH" dataDxfId="1982" totalsRowDxfId="1981"/>
    <tableColumn id="2" name="JAN" totalsRowFunction="sum" dataDxfId="1980" totalsRowDxfId="1979"/>
    <tableColumn id="3" name="FEV" totalsRowFunction="sum" dataDxfId="1978" totalsRowDxfId="1977"/>
    <tableColumn id="4" name="MAR" totalsRowFunction="sum" dataDxfId="1976" totalsRowDxfId="1975"/>
    <tableColumn id="5" name="ABR" totalsRowFunction="sum" dataDxfId="1974" totalsRowDxfId="1973"/>
    <tableColumn id="6" name="MAI" totalsRowFunction="sum" dataDxfId="1972" totalsRowDxfId="1971"/>
    <tableColumn id="7" name="JUN" totalsRowFunction="sum" dataDxfId="1970" totalsRowDxfId="1969"/>
    <tableColumn id="8" name="JUL" totalsRowFunction="sum" dataDxfId="1968" totalsRowDxfId="1967"/>
    <tableColumn id="9" name="AGO" totalsRowFunction="sum" dataDxfId="1966" totalsRowDxfId="1965"/>
    <tableColumn id="10" name="SET" totalsRowFunction="sum" dataDxfId="1964" totalsRowDxfId="1963"/>
    <tableColumn id="11" name="OUT" totalsRowFunction="sum" dataDxfId="1962" totalsRowDxfId="1961"/>
    <tableColumn id="12" name="NOV" totalsRowFunction="sum" dataDxfId="1960" totalsRowDxfId="1959"/>
    <tableColumn id="13" name="DEZ" totalsRowFunction="sum" dataDxfId="1958" totalsRowDxfId="1957"/>
    <tableColumn id="14" name="2019" totalsRowFunction="sum" dataDxfId="1956" totalsRowDxfId="1955">
      <calculatedColumnFormula>SUM(Tabela270[[#This Row],[JAN]:[DEZ]])</calculatedColumnFormula>
    </tableColumn>
    <tableColumn id="15" name="2019[%]" dataDxfId="1954" totalsRowDxfId="1953" dataCellStyle="Porcentagem">
      <calculatedColumnFormula>Tabela270[[#This Row],[2019]]/Tabela270[[#Totals],[2019]]</calculatedColumnFormula>
    </tableColumn>
  </tableColumns>
  <tableStyleInfo name="TableStyleMedium14" showFirstColumn="0" showLastColumn="0" showRowStripes="1" showColumnStripes="0"/>
</table>
</file>

<file path=xl/tables/table44.xml><?xml version="1.0" encoding="utf-8"?>
<table xmlns="http://schemas.openxmlformats.org/spreadsheetml/2006/main" id="74" name="Tabela2475" displayName="Tabela2475" ref="B24:P27" totalsRowCount="1" headerRowDxfId="1952" dataDxfId="1951">
  <autoFilter ref="B24:P26"/>
  <tableColumns count="15">
    <tableColumn id="1" name="SITUAÇÃO AIH" dataDxfId="1950" totalsRowDxfId="1949"/>
    <tableColumn id="2" name="JAN" totalsRowFunction="sum" dataDxfId="1948" totalsRowDxfId="1947" dataCellStyle="Moeda"/>
    <tableColumn id="3" name="FEV" totalsRowFunction="sum" dataDxfId="1946" totalsRowDxfId="1945" dataCellStyle="Moeda"/>
    <tableColumn id="4" name="MAR" totalsRowFunction="sum" dataDxfId="1944" totalsRowDxfId="1943" dataCellStyle="Moeda"/>
    <tableColumn id="5" name="ABR" totalsRowFunction="sum" dataDxfId="1942" totalsRowDxfId="1941" dataCellStyle="Moeda"/>
    <tableColumn id="6" name="MAI" totalsRowFunction="sum" dataDxfId="1940" totalsRowDxfId="1939" dataCellStyle="Moeda"/>
    <tableColumn id="7" name="JUN" totalsRowFunction="sum" dataDxfId="1938" totalsRowDxfId="1937" dataCellStyle="Moeda"/>
    <tableColumn id="8" name="JUL" totalsRowFunction="sum" dataDxfId="1936" totalsRowDxfId="1935" dataCellStyle="Moeda"/>
    <tableColumn id="9" name="AGO" totalsRowFunction="sum" dataDxfId="1934" totalsRowDxfId="1933" dataCellStyle="Moeda"/>
    <tableColumn id="10" name="SET" totalsRowFunction="sum" dataDxfId="1932" totalsRowDxfId="1931" dataCellStyle="Moeda"/>
    <tableColumn id="11" name="OUT" totalsRowFunction="sum" dataDxfId="1930" totalsRowDxfId="1929" dataCellStyle="Moeda"/>
    <tableColumn id="12" name="NOV" totalsRowFunction="sum" dataDxfId="1928" totalsRowDxfId="1927" dataCellStyle="Moeda"/>
    <tableColumn id="13" name="DEZ" totalsRowFunction="sum" dataDxfId="1926" totalsRowDxfId="1925" dataCellStyle="Moeda"/>
    <tableColumn id="14" name="2019" totalsRowFunction="sum" dataDxfId="1924" totalsRowDxfId="1923" dataCellStyle="Moeda">
      <calculatedColumnFormula>SUM(Tabela2475[[#This Row],[JAN]:[DEZ]])</calculatedColumnFormula>
    </tableColumn>
    <tableColumn id="15" name="2019[%]" dataDxfId="1922" totalsRowDxfId="1921" dataCellStyle="Porcentagem">
      <calculatedColumnFormula>Tabela2475[[#This Row],[2019]]/Tabela2475[[#Totals],[2019]]</calculatedColumnFormula>
    </tableColumn>
  </tableColumns>
  <tableStyleInfo name="TableStyleMedium14" showFirstColumn="0" showLastColumn="0" showRowStripes="1" showColumnStripes="0"/>
</table>
</file>

<file path=xl/tables/table45.xml><?xml version="1.0" encoding="utf-8"?>
<table xmlns="http://schemas.openxmlformats.org/spreadsheetml/2006/main" id="88" name="Tabela24589" displayName="Tabela24589" ref="B29:P32" totalsRowCount="1" headerRowDxfId="1920" dataDxfId="1919">
  <autoFilter ref="B29:P31"/>
  <tableColumns count="15">
    <tableColumn id="1" name="SITUAÇÃO AIH" dataDxfId="1918" totalsRowDxfId="1917"/>
    <tableColumn id="2" name="JAN" totalsRowFunction="sum" dataDxfId="1916" totalsRowDxfId="1915" dataCellStyle="Moeda"/>
    <tableColumn id="3" name="FEV" totalsRowFunction="sum" dataDxfId="1914" totalsRowDxfId="1913" dataCellStyle="Moeda"/>
    <tableColumn id="4" name="MAR" totalsRowFunction="sum" dataDxfId="1912" totalsRowDxfId="1911" dataCellStyle="Moeda"/>
    <tableColumn id="5" name="ABR" totalsRowFunction="sum" dataDxfId="1910" totalsRowDxfId="1909" dataCellStyle="Moeda"/>
    <tableColumn id="6" name="MAI" totalsRowFunction="sum" dataDxfId="1908" totalsRowDxfId="1907" dataCellStyle="Moeda"/>
    <tableColumn id="7" name="JUN" totalsRowFunction="sum" dataDxfId="1906" totalsRowDxfId="1905" dataCellStyle="Moeda"/>
    <tableColumn id="8" name="JUL" totalsRowFunction="sum" dataDxfId="1904" totalsRowDxfId="1903" dataCellStyle="Moeda"/>
    <tableColumn id="9" name="AGO" totalsRowFunction="sum" dataDxfId="1902" totalsRowDxfId="1901" dataCellStyle="Moeda"/>
    <tableColumn id="10" name="SET" totalsRowFunction="sum" dataDxfId="1900" totalsRowDxfId="1899" dataCellStyle="Moeda"/>
    <tableColumn id="11" name="OUT" totalsRowFunction="sum" dataDxfId="1898" totalsRowDxfId="1897" dataCellStyle="Moeda"/>
    <tableColumn id="12" name="NOV" totalsRowFunction="sum" dataDxfId="1896" totalsRowDxfId="1895" dataCellStyle="Moeda"/>
    <tableColumn id="13" name="DEZ" totalsRowFunction="sum" dataDxfId="1894" totalsRowDxfId="1893" dataCellStyle="Moeda"/>
    <tableColumn id="14" name="2019" totalsRowFunction="sum" dataDxfId="1892" totalsRowDxfId="1891" dataCellStyle="Moeda">
      <calculatedColumnFormula>SUM(Tabela24589[[#This Row],[JAN]:[DEZ]])</calculatedColumnFormula>
    </tableColumn>
    <tableColumn id="15" name="2019[%]" dataDxfId="1890" totalsRowDxfId="1889" dataCellStyle="Porcentagem">
      <calculatedColumnFormula>Tabela24589[[#This Row],[2019]]/Tabela24589[[#Totals],[2019]]</calculatedColumnFormula>
    </tableColumn>
  </tableColumns>
  <tableStyleInfo name="TableStyleMedium14" showFirstColumn="0" showLastColumn="0" showRowStripes="1" showColumnStripes="0"/>
</table>
</file>

<file path=xl/tables/table46.xml><?xml version="1.0" encoding="utf-8"?>
<table xmlns="http://schemas.openxmlformats.org/spreadsheetml/2006/main" id="93" name="Tabela2456" displayName="Tabela2456" ref="B44:P47" totalsRowCount="1" headerRowDxfId="1888" dataDxfId="1887">
  <autoFilter ref="B44:P46"/>
  <tableColumns count="15">
    <tableColumn id="1" name="SITUAÇÃO AIH" dataDxfId="1886" totalsRowDxfId="1885"/>
    <tableColumn id="2" name="JAN" totalsRowFunction="sum" dataDxfId="1884" totalsRowDxfId="1883" dataCellStyle="Moeda"/>
    <tableColumn id="3" name="FEV" totalsRowFunction="sum" dataDxfId="1882" totalsRowDxfId="1881" dataCellStyle="Moeda"/>
    <tableColumn id="4" name="MAR" totalsRowFunction="sum" dataDxfId="1880" totalsRowDxfId="1879" dataCellStyle="Moeda"/>
    <tableColumn id="5" name="ABR" totalsRowFunction="sum" dataDxfId="1878" totalsRowDxfId="1877" dataCellStyle="Moeda"/>
    <tableColumn id="6" name="MAI" totalsRowFunction="sum" dataDxfId="1876" totalsRowDxfId="1875" dataCellStyle="Moeda"/>
    <tableColumn id="7" name="JUN" totalsRowFunction="sum" dataDxfId="1874" totalsRowDxfId="1873" dataCellStyle="Moeda"/>
    <tableColumn id="8" name="JUL" totalsRowFunction="sum" dataDxfId="1872" totalsRowDxfId="1871" dataCellStyle="Moeda"/>
    <tableColumn id="9" name="AGO" totalsRowFunction="sum" dataDxfId="1870" totalsRowDxfId="1869" dataCellStyle="Moeda"/>
    <tableColumn id="10" name="SET" totalsRowFunction="sum" dataDxfId="1868" totalsRowDxfId="1867" dataCellStyle="Moeda"/>
    <tableColumn id="11" name="OUT" totalsRowFunction="sum" dataDxfId="1866" totalsRowDxfId="1865" dataCellStyle="Moeda"/>
    <tableColumn id="12" name="NOV" totalsRowFunction="sum" dataDxfId="1864" totalsRowDxfId="1863" dataCellStyle="Moeda"/>
    <tableColumn id="13" name="DEZ" totalsRowFunction="sum" dataDxfId="1862" totalsRowDxfId="1861" dataCellStyle="Moeda"/>
    <tableColumn id="14" name="2019" totalsRowFunction="sum" dataDxfId="1860" totalsRowDxfId="1859" dataCellStyle="Moeda">
      <calculatedColumnFormula>SUM(Tabela2456[[#This Row],[JAN]:[DEZ]])</calculatedColumnFormula>
    </tableColumn>
    <tableColumn id="15" name="2019[%]" dataDxfId="1858" totalsRowDxfId="1857" dataCellStyle="Porcentagem">
      <calculatedColumnFormula>Tabela2456[[#This Row],[2019]]/Tabela2456[[#Totals],[2019]]</calculatedColumnFormula>
    </tableColumn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95" name="Tabela2457" displayName="Tabela2457" ref="B34:P37" totalsRowCount="1" headerRowDxfId="1856" dataDxfId="1855">
  <autoFilter ref="B34:P36"/>
  <tableColumns count="15">
    <tableColumn id="1" name="SITUAÇÃO AIH" dataDxfId="1854" totalsRowDxfId="1853"/>
    <tableColumn id="2" name="JAN" totalsRowFunction="sum" dataDxfId="1852" totalsRowDxfId="1851" dataCellStyle="Moeda">
      <calculatedColumnFormula>IF(SUM(C25,C30)&gt;0,SUM(C25,C30),"")</calculatedColumnFormula>
    </tableColumn>
    <tableColumn id="3" name="FEV" totalsRowFunction="sum" dataDxfId="1850" totalsRowDxfId="1849" dataCellStyle="Moeda">
      <calculatedColumnFormula>IF(SUM(D25,D30)&gt;0,SUM(D25,D30),"")</calculatedColumnFormula>
    </tableColumn>
    <tableColumn id="4" name="MAR" totalsRowFunction="sum" dataDxfId="1848" totalsRowDxfId="1847" dataCellStyle="Moeda">
      <calculatedColumnFormula>IF(SUM(E25,E30)&gt;0,SUM(E25,E30),"")</calculatedColumnFormula>
    </tableColumn>
    <tableColumn id="5" name="ABR" totalsRowFunction="sum" dataDxfId="1846" totalsRowDxfId="1845" dataCellStyle="Moeda">
      <calculatedColumnFormula>IF(SUM(F25,F30)&gt;0,SUM(F25,F30),"")</calculatedColumnFormula>
    </tableColumn>
    <tableColumn id="6" name="MAI" totalsRowFunction="sum" dataDxfId="1844" totalsRowDxfId="1843" dataCellStyle="Moeda">
      <calculatedColumnFormula>IF(SUM(G25,G30)&gt;0,SUM(G25,G30),"")</calculatedColumnFormula>
    </tableColumn>
    <tableColumn id="7" name="JUN" totalsRowFunction="sum" dataDxfId="1842" totalsRowDxfId="1841" dataCellStyle="Moeda">
      <calculatedColumnFormula>IF(SUM(H25,H30)&gt;0,SUM(H25,H30),"")</calculatedColumnFormula>
    </tableColumn>
    <tableColumn id="8" name="JUL" totalsRowFunction="sum" dataDxfId="1840" totalsRowDxfId="1839" dataCellStyle="Moeda">
      <calculatedColumnFormula>IF(SUM(I25,I30)&gt;0,SUM(I25,I30),"")</calculatedColumnFormula>
    </tableColumn>
    <tableColumn id="9" name="AGO" totalsRowFunction="sum" dataDxfId="1838" totalsRowDxfId="1837" dataCellStyle="Moeda">
      <calculatedColumnFormula>IF(SUM(J25,J30)&gt;0,SUM(J25,J30),"")</calculatedColumnFormula>
    </tableColumn>
    <tableColumn id="10" name="SET" totalsRowFunction="sum" dataDxfId="1836" totalsRowDxfId="1835" dataCellStyle="Moeda">
      <calculatedColumnFormula>IF(SUM(K25,K30)&gt;0,SUM(K25,K30),"")</calculatedColumnFormula>
    </tableColumn>
    <tableColumn id="11" name="OUT" totalsRowFunction="sum" dataDxfId="1834" totalsRowDxfId="1833" dataCellStyle="Moeda">
      <calculatedColumnFormula>IF(SUM(L25,L30)&gt;0,SUM(L25,L30),"")</calculatedColumnFormula>
    </tableColumn>
    <tableColumn id="12" name="NOV" totalsRowFunction="sum" dataDxfId="1832" totalsRowDxfId="1831" dataCellStyle="Moeda">
      <calculatedColumnFormula>IF(SUM(M25,M30)&gt;0,SUM(M25,M30),"")</calculatedColumnFormula>
    </tableColumn>
    <tableColumn id="13" name="DEZ" totalsRowFunction="sum" dataDxfId="1830" totalsRowDxfId="1829" dataCellStyle="Moeda">
      <calculatedColumnFormula>IF(SUM(N25,N30)&gt;0,SUM(N25,N30),"")</calculatedColumnFormula>
    </tableColumn>
    <tableColumn id="14" name="2019" totalsRowFunction="sum" dataDxfId="1828" totalsRowDxfId="1827" dataCellStyle="Moeda">
      <calculatedColumnFormula>SUM(Tabela2457[[#This Row],[JAN]:[DEZ]])</calculatedColumnFormula>
    </tableColumn>
    <tableColumn id="15" name="2019[%]" dataDxfId="1826" totalsRowDxfId="1825" dataCellStyle="Porcentagem">
      <calculatedColumnFormula>Tabela2457[[#This Row],[2019]]/Tabela2457[[#Totals],[2019]]</calculatedColumnFormula>
    </tableColumn>
  </tableColumns>
  <tableStyleInfo name="TableStyleLight7" showFirstColumn="0" showLastColumn="0" showRowStripes="1" showColumnStripes="0"/>
</table>
</file>

<file path=xl/tables/table48.xml><?xml version="1.0" encoding="utf-8"?>
<table xmlns="http://schemas.openxmlformats.org/spreadsheetml/2006/main" id="96" name="Tabela24568" displayName="Tabela24568" ref="B49:P52" totalsRowCount="1" headerRowDxfId="1824" dataDxfId="1823">
  <autoFilter ref="B49:P51"/>
  <tableColumns count="15">
    <tableColumn id="1" name="SITUAÇÃO AIH" dataDxfId="1822" totalsRowDxfId="1821"/>
    <tableColumn id="2" name="JAN" totalsRowFunction="sum" dataDxfId="1820" totalsRowDxfId="1819" dataCellStyle="Moeda"/>
    <tableColumn id="3" name="FEV" totalsRowFunction="sum" dataDxfId="1818" totalsRowDxfId="1817" dataCellStyle="Moeda"/>
    <tableColumn id="4" name="MAR" totalsRowFunction="sum" dataDxfId="1816" totalsRowDxfId="1815" dataCellStyle="Moeda"/>
    <tableColumn id="5" name="ABR" totalsRowFunction="sum" dataDxfId="1814" totalsRowDxfId="1813" dataCellStyle="Moeda"/>
    <tableColumn id="6" name="MAI" totalsRowFunction="sum" dataDxfId="1812" totalsRowDxfId="1811" dataCellStyle="Moeda"/>
    <tableColumn id="7" name="JUN" totalsRowFunction="sum" dataDxfId="1810" totalsRowDxfId="1809" dataCellStyle="Moeda"/>
    <tableColumn id="8" name="JUL" totalsRowFunction="sum" dataDxfId="1808" totalsRowDxfId="1807" dataCellStyle="Moeda"/>
    <tableColumn id="9" name="AGO" totalsRowFunction="sum" dataDxfId="1806" totalsRowDxfId="1805" dataCellStyle="Moeda"/>
    <tableColumn id="10" name="SET" totalsRowFunction="sum" dataDxfId="1804" totalsRowDxfId="1803" dataCellStyle="Moeda"/>
    <tableColumn id="11" name="OUT" totalsRowFunction="sum" dataDxfId="1802" totalsRowDxfId="1801" dataCellStyle="Moeda"/>
    <tableColumn id="12" name="NOV" totalsRowFunction="sum" dataDxfId="1800" totalsRowDxfId="1799" dataCellStyle="Moeda"/>
    <tableColumn id="13" name="DEZ" totalsRowFunction="sum" dataDxfId="1798" totalsRowDxfId="1797" dataCellStyle="Moeda"/>
    <tableColumn id="14" name="2019" totalsRowFunction="sum" dataDxfId="1796" totalsRowDxfId="1795" dataCellStyle="Moeda">
      <calculatedColumnFormula>SUM(Tabela24568[[#This Row],[JAN]:[DEZ]])</calculatedColumnFormula>
    </tableColumn>
    <tableColumn id="15" name="2019[%]" dataDxfId="1794" totalsRowDxfId="1793" dataCellStyle="Porcentagem">
      <calculatedColumnFormula>Tabela24568[[#This Row],[2019]]/Tabela24568[[#Totals],[2019]]</calculatedColumnFormula>
    </tableColumn>
  </tableColumns>
  <tableStyleInfo name="TableStyleMedium14" showFirstColumn="0" showLastColumn="0" showRowStripes="1" showColumnStripes="0"/>
</table>
</file>

<file path=xl/tables/table49.xml><?xml version="1.0" encoding="utf-8"?>
<table xmlns="http://schemas.openxmlformats.org/spreadsheetml/2006/main" id="97" name="Tabela245689" displayName="Tabela245689" ref="B54:P57" totalsRowCount="1" headerRowDxfId="1792" dataDxfId="1791">
  <autoFilter ref="B54:P56"/>
  <tableColumns count="15">
    <tableColumn id="1" name="SITUAÇÃO AIH" dataDxfId="1790" totalsRowDxfId="1789"/>
    <tableColumn id="2" name="JAN" totalsRowFunction="sum" dataDxfId="1788" totalsRowDxfId="1787" dataCellStyle="Moeda"/>
    <tableColumn id="3" name="FEV" totalsRowFunction="sum" dataDxfId="1786" totalsRowDxfId="1785" dataCellStyle="Moeda"/>
    <tableColumn id="4" name="MAR" totalsRowFunction="sum" dataDxfId="1784" totalsRowDxfId="1783" dataCellStyle="Moeda"/>
    <tableColumn id="5" name="ABR" totalsRowFunction="sum" dataDxfId="1782" totalsRowDxfId="1781" dataCellStyle="Moeda"/>
    <tableColumn id="6" name="MAI" totalsRowFunction="sum" dataDxfId="1780" totalsRowDxfId="1779" dataCellStyle="Moeda"/>
    <tableColumn id="7" name="JUN" totalsRowFunction="sum" dataDxfId="1778" totalsRowDxfId="1777" dataCellStyle="Moeda"/>
    <tableColumn id="8" name="JUL" totalsRowFunction="sum" dataDxfId="1776" totalsRowDxfId="1775" dataCellStyle="Moeda"/>
    <tableColumn id="9" name="AGO" totalsRowFunction="sum" dataDxfId="1774" totalsRowDxfId="1773" dataCellStyle="Moeda"/>
    <tableColumn id="10" name="SET" totalsRowFunction="sum" dataDxfId="1772" totalsRowDxfId="1771" dataCellStyle="Moeda"/>
    <tableColumn id="11" name="OUT" totalsRowFunction="sum" dataDxfId="1770" totalsRowDxfId="1769" dataCellStyle="Moeda"/>
    <tableColumn id="12" name="NOV" totalsRowFunction="sum" dataDxfId="1768" totalsRowDxfId="1767" dataCellStyle="Moeda"/>
    <tableColumn id="13" name="DEZ" totalsRowFunction="sum" dataDxfId="1766" totalsRowDxfId="1765" dataCellStyle="Moeda"/>
    <tableColumn id="14" name="2019" totalsRowFunction="sum" dataDxfId="1764" totalsRowDxfId="1763" dataCellStyle="Moeda">
      <calculatedColumnFormula>SUM(Tabela245689[[#This Row],[JAN]:[DEZ]])</calculatedColumnFormula>
    </tableColumn>
    <tableColumn id="15" name="2019[%]" dataDxfId="1762" totalsRowDxfId="1761" dataCellStyle="Porcentagem">
      <calculatedColumnFormula>Tabela245689[[#This Row],[2019]]/Tabela245689[[#Totals],[2019]]</calculatedColumnFormula>
    </tableColumn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id="38" name="MPerm" displayName="MPerm" ref="A100:N110" totalsRowShown="0" headerRowDxfId="2979" dataDxfId="2978">
  <autoFilter ref="A100:N110"/>
  <tableColumns count="14">
    <tableColumn id="1" name="UNIDADE" dataDxfId="2977"/>
    <tableColumn id="2" name="JAN" dataDxfId="2976">
      <calculatedColumnFormula>IF(B28 = 0,0,B4/B28)</calculatedColumnFormula>
    </tableColumn>
    <tableColumn id="3" name="FEV" dataDxfId="2975">
      <calculatedColumnFormula>IF(C28 = 0,0,C4/C28)</calculatedColumnFormula>
    </tableColumn>
    <tableColumn id="4" name="MAR" dataDxfId="2974">
      <calculatedColumnFormula>IF(D28 = 0,0,D4/D28)</calculatedColumnFormula>
    </tableColumn>
    <tableColumn id="5" name="ABR" dataDxfId="2973">
      <calculatedColumnFormula>IF(E28 = 0,0,E4/E28)</calculatedColumnFormula>
    </tableColumn>
    <tableColumn id="6" name="MAI" dataDxfId="2972">
      <calculatedColumnFormula>IF(F28 = 0,0,F4/F28)</calculatedColumnFormula>
    </tableColumn>
    <tableColumn id="7" name="JUN" dataDxfId="2971">
      <calculatedColumnFormula>IF(G28 = 0,0,G4/G28)</calculatedColumnFormula>
    </tableColumn>
    <tableColumn id="8" name="JUL" dataDxfId="2970">
      <calculatedColumnFormula>IF(H28 = 0,0,H4/H28)</calculatedColumnFormula>
    </tableColumn>
    <tableColumn id="9" name="AGO" dataDxfId="2969">
      <calculatedColumnFormula>IF(I28 = 0,0,I4/I28)</calculatedColumnFormula>
    </tableColumn>
    <tableColumn id="10" name="SET" dataDxfId="2968">
      <calculatedColumnFormula>IF(J28 = 0,0,J4/J28)</calculatedColumnFormula>
    </tableColumn>
    <tableColumn id="11" name="OUT" dataDxfId="2967">
      <calculatedColumnFormula>IF(K28 = 0,0,K4/K28)</calculatedColumnFormula>
    </tableColumn>
    <tableColumn id="12" name="NOV" dataDxfId="2966">
      <calculatedColumnFormula>IF(L28 = 0,0,L4/L28)</calculatedColumnFormula>
    </tableColumn>
    <tableColumn id="13" name="DEZ" dataDxfId="2965">
      <calculatedColumnFormula>IF(M28 = 0,0,M4/M28)</calculatedColumnFormula>
    </tableColumn>
    <tableColumn id="14" name="2019" dataDxfId="2964">
      <calculatedColumnFormula>IF(N28 = 0,0,N4/N28)</calculatedColumnFormula>
    </tableColumn>
  </tableColumns>
  <tableStyleInfo name="TableStyleLight21" showFirstColumn="0" showLastColumn="0" showRowStripes="1" showColumnStripes="0"/>
</table>
</file>

<file path=xl/tables/table50.xml><?xml version="1.0" encoding="utf-8"?>
<table xmlns="http://schemas.openxmlformats.org/spreadsheetml/2006/main" id="98" name="Tabela245710" displayName="Tabela245710" ref="B39:O42" totalsRowCount="1" headerRowDxfId="1760" dataDxfId="1759">
  <autoFilter ref="B39:O41"/>
  <tableColumns count="14">
    <tableColumn id="1" name="SITUAÇÃO AIH" dataDxfId="1758" totalsRowDxfId="1757"/>
    <tableColumn id="2" name="JAN" totalsRowLabel=" R$ 944,08 " dataDxfId="1756" totalsRowDxfId="1755" dataCellStyle="Moeda"/>
    <tableColumn id="3" name="FEV" totalsRowLabel=" R$ 1.100,48 " dataDxfId="1754" totalsRowDxfId="1753" dataCellStyle="Moeda"/>
    <tableColumn id="4" name="MAR" totalsRowLabel=" R$ 1.164,54 " dataDxfId="1752" totalsRowDxfId="1751" dataCellStyle="Moeda"/>
    <tableColumn id="5" name="ABR" totalsRowLabel=" R$ 1.050,68 " dataDxfId="1750" totalsRowDxfId="1749" dataCellStyle="Moeda"/>
    <tableColumn id="6" name="MAI" totalsRowLabel=" R$ 1.030,13 " dataDxfId="1748" totalsRowDxfId="1747" dataCellStyle="Moeda"/>
    <tableColumn id="7" name="JUN" totalsRowLabel=" R$ 1.248,29 " dataDxfId="1746" totalsRowDxfId="1745" dataCellStyle="Moeda"/>
    <tableColumn id="8" name="JUL" totalsRowLabel=" R$ 1.254,23 " dataDxfId="1744" totalsRowDxfId="1743" dataCellStyle="Moeda"/>
    <tableColumn id="9" name="AGO" totalsRowLabel=" R$ 1.128,13 " dataDxfId="1742" totalsRowDxfId="1741" dataCellStyle="Moeda"/>
    <tableColumn id="10" name="SET" totalsRowLabel=" R$ 1.079,84 " dataDxfId="1740" totalsRowDxfId="1739" dataCellStyle="Moeda"/>
    <tableColumn id="11" name="OUT" totalsRowLabel=" R$ 1.059,82 " dataDxfId="1738" totalsRowDxfId="1737" dataCellStyle="Moeda"/>
    <tableColumn id="12" name="NOV" totalsRowLabel=" R$ 1.065,24 " dataDxfId="1736" totalsRowDxfId="1735" dataCellStyle="Moeda"/>
    <tableColumn id="13" name="DEZ" totalsRowLabel="  " dataDxfId="1734" totalsRowDxfId="1733" dataCellStyle="Moeda"/>
    <tableColumn id="14" name="2019" totalsRowLabel=" R$ 1.103,32 " dataDxfId="1732" totalsRowDxfId="1731" dataCellStyle="Moeda"/>
  </tableColumns>
  <tableStyleInfo name="TableStyleMedium28" showFirstColumn="0" showLastColumn="0" showRowStripes="1" showColumnStripes="0"/>
</table>
</file>

<file path=xl/tables/table51.xml><?xml version="1.0" encoding="utf-8"?>
<table xmlns="http://schemas.openxmlformats.org/spreadsheetml/2006/main" id="99" name="Tabela211" displayName="Tabela211" ref="B9:P12" totalsRowCount="1" headerRowDxfId="1730" dataDxfId="1729">
  <autoFilter ref="B9:P11"/>
  <tableColumns count="15">
    <tableColumn id="1" name="SITUAÇÃO AIH" dataDxfId="1728" totalsRowDxfId="1727"/>
    <tableColumn id="2" name="JAN" totalsRowFunction="sum" dataDxfId="1726" totalsRowDxfId="1725"/>
    <tableColumn id="3" name="FEV" totalsRowFunction="sum" dataDxfId="1724" totalsRowDxfId="1723"/>
    <tableColumn id="4" name="MAR" totalsRowFunction="sum" dataDxfId="1722" totalsRowDxfId="1721"/>
    <tableColumn id="5" name="ABR" totalsRowFunction="sum" dataDxfId="1720" totalsRowDxfId="1719"/>
    <tableColumn id="6" name="MAI" totalsRowFunction="sum" dataDxfId="1718" totalsRowDxfId="1717"/>
    <tableColumn id="7" name="JUN" totalsRowFunction="sum" dataDxfId="1716" totalsRowDxfId="1715"/>
    <tableColumn id="8" name="JUL" totalsRowFunction="sum" dataDxfId="1714" totalsRowDxfId="1713"/>
    <tableColumn id="9" name="AGO" totalsRowFunction="sum" dataDxfId="1712" totalsRowDxfId="1711"/>
    <tableColumn id="10" name="SET" totalsRowFunction="sum" dataDxfId="1710" totalsRowDxfId="1709"/>
    <tableColumn id="11" name="OUT" totalsRowFunction="sum" dataDxfId="1708" totalsRowDxfId="1707"/>
    <tableColumn id="12" name="NOV" totalsRowFunction="sum" dataDxfId="1706" totalsRowDxfId="1705"/>
    <tableColumn id="13" name="DEZ" totalsRowFunction="sum" dataDxfId="1704" totalsRowDxfId="1703"/>
    <tableColumn id="14" name="2019" totalsRowFunction="sum" dataDxfId="1702" totalsRowDxfId="1701">
      <calculatedColumnFormula>SUM(Tabela211[[#This Row],[JAN]:[DEZ]])</calculatedColumnFormula>
    </tableColumn>
    <tableColumn id="15" name="2019[%]" dataDxfId="1700" totalsRowDxfId="1699" dataCellStyle="Porcentagem">
      <calculatedColumnFormula>Tabela211[[#This Row],[2019]]/Tabela211[[#Totals],[2019]]</calculatedColumnFormula>
    </tableColumn>
  </tableColumns>
  <tableStyleInfo name="TableStyleMedium14" showFirstColumn="0" showLastColumn="0" showRowStripes="1" showColumnStripes="0"/>
</table>
</file>

<file path=xl/tables/table52.xml><?xml version="1.0" encoding="utf-8"?>
<table xmlns="http://schemas.openxmlformats.org/spreadsheetml/2006/main" id="100" name="Tabela21112" displayName="Tabela21112" ref="B19:P22" totalsRowCount="1" headerRowDxfId="1698" dataDxfId="1697">
  <autoFilter ref="B19:P21"/>
  <tableColumns count="15">
    <tableColumn id="1" name="SITUAÇÃO AIH" dataDxfId="1696" totalsRowDxfId="1695"/>
    <tableColumn id="2" name="JAN" totalsRowFunction="sum" dataDxfId="1694" totalsRowDxfId="1693"/>
    <tableColumn id="3" name="FEV" totalsRowFunction="sum" dataDxfId="1692" totalsRowDxfId="1691"/>
    <tableColumn id="4" name="MAR" totalsRowFunction="sum" dataDxfId="1690" totalsRowDxfId="1689"/>
    <tableColumn id="5" name="ABR" totalsRowFunction="sum" dataDxfId="1688" totalsRowDxfId="1687"/>
    <tableColumn id="6" name="MAI" totalsRowFunction="sum" dataDxfId="1686" totalsRowDxfId="1685"/>
    <tableColumn id="7" name="JUN" totalsRowFunction="sum" dataDxfId="1684" totalsRowDxfId="1683"/>
    <tableColumn id="8" name="JUL" totalsRowFunction="sum" dataDxfId="1682" totalsRowDxfId="1681"/>
    <tableColumn id="9" name="AGO" totalsRowFunction="sum" dataDxfId="1680" totalsRowDxfId="1679"/>
    <tableColumn id="10" name="SET" totalsRowFunction="sum" dataDxfId="1678" totalsRowDxfId="1677"/>
    <tableColumn id="11" name="OUT" totalsRowFunction="sum" dataDxfId="1676" totalsRowDxfId="1675"/>
    <tableColumn id="12" name="NOV" totalsRowFunction="sum" dataDxfId="1674" totalsRowDxfId="1673"/>
    <tableColumn id="13" name="DEZ" totalsRowFunction="sum" dataDxfId="1672" totalsRowDxfId="1671"/>
    <tableColumn id="14" name="2019" totalsRowFunction="sum" dataDxfId="1670" totalsRowDxfId="1669">
      <calculatedColumnFormula>SUM(Tabela21112[[#This Row],[JAN]:[DEZ]])</calculatedColumnFormula>
    </tableColumn>
    <tableColumn id="15" name="2019[%]" dataDxfId="1668" totalsRowDxfId="1667" dataCellStyle="Porcentagem">
      <calculatedColumnFormula>Tabela21112[[#This Row],[2019]]/Tabela21112[[#Totals],[2019]]</calculatedColumnFormula>
    </tableColumn>
  </tableColumns>
  <tableStyleInfo name="TableStyleMedium14" showFirstColumn="0" showLastColumn="0" showRowStripes="1" showColumnStripes="0"/>
</table>
</file>

<file path=xl/tables/table53.xml><?xml version="1.0" encoding="utf-8"?>
<table xmlns="http://schemas.openxmlformats.org/spreadsheetml/2006/main" id="101" name="Tabela245713" displayName="Tabela245713" ref="B14:O17" totalsRowCount="1" headerRowDxfId="1666" dataDxfId="1665">
  <autoFilter ref="B14:O16"/>
  <tableColumns count="14">
    <tableColumn id="1" name="SITUAÇÃO AIH" dataDxfId="1664" totalsRowDxfId="1663"/>
    <tableColumn id="2" name="JAN" totalsRowLabel=" 5,54 " dataDxfId="1662" totalsRowDxfId="1661" dataCellStyle="Moeda"/>
    <tableColumn id="3" name="FEV" totalsRowLabel=" 6,79 " dataDxfId="1660" totalsRowDxfId="1659" dataCellStyle="Moeda"/>
    <tableColumn id="4" name="MAR" totalsRowLabel=" 6,67 " dataDxfId="1658" totalsRowDxfId="1657" dataCellStyle="Moeda"/>
    <tableColumn id="5" name="ABR" totalsRowLabel=" 6,04 " dataDxfId="1656" totalsRowDxfId="1655" dataCellStyle="Moeda"/>
    <tableColumn id="6" name="MAI" totalsRowLabel=" 6,03 " dataDxfId="1654" totalsRowDxfId="1653" dataCellStyle="Moeda"/>
    <tableColumn id="7" name="JUN" totalsRowLabel=" 6,84 " dataDxfId="1652" totalsRowDxfId="1651" dataCellStyle="Moeda"/>
    <tableColumn id="8" name="JUL" totalsRowLabel=" 6,43 " dataDxfId="1650" totalsRowDxfId="1649" dataCellStyle="Moeda"/>
    <tableColumn id="9" name="AGO" totalsRowLabel=" 7,68 " dataDxfId="1648" totalsRowDxfId="1647" dataCellStyle="Moeda"/>
    <tableColumn id="10" name="SET" totalsRowLabel=" 7,24 " dataDxfId="1646" totalsRowDxfId="1645" dataCellStyle="Moeda"/>
    <tableColumn id="11" name="OUT" totalsRowLabel=" 6,58 " dataDxfId="1644" totalsRowDxfId="1643" dataCellStyle="Moeda"/>
    <tableColumn id="12" name="NOV" totalsRowLabel=" 6,63 " dataDxfId="1642" totalsRowDxfId="1641" dataCellStyle="Moeda"/>
    <tableColumn id="13" name="DEZ" totalsRowLabel="  " dataDxfId="1640" totalsRowDxfId="1639" dataCellStyle="Moeda"/>
    <tableColumn id="14" name="2019" totalsRowLabel=" 6,58 " dataDxfId="1638" totalsRowDxfId="1637" dataCellStyle="Moeda"/>
  </tableColumns>
  <tableStyleInfo name="TableStyleMedium28" showFirstColumn="0" showLastColumn="0" showRowStripes="1" showColumnStripes="0"/>
</table>
</file>

<file path=xl/tables/table54.xml><?xml version="1.0" encoding="utf-8"?>
<table xmlns="http://schemas.openxmlformats.org/spreadsheetml/2006/main" id="102" name="Tabela215" displayName="Tabela215" ref="B59:P65" totalsRowCount="1" headerRowDxfId="1636" dataDxfId="1635">
  <autoFilter ref="B59:P64"/>
  <tableColumns count="15">
    <tableColumn id="1" name="Motivo" dataDxfId="1634" totalsRowDxfId="1633"/>
    <tableColumn id="2" name="JAN" totalsRowFunction="sum" dataDxfId="1632" totalsRowDxfId="1631"/>
    <tableColumn id="3" name="FEV" totalsRowFunction="sum" dataDxfId="1630" totalsRowDxfId="1629"/>
    <tableColumn id="4" name="MAR" totalsRowFunction="sum" dataDxfId="1628" totalsRowDxfId="1627"/>
    <tableColumn id="5" name="ABR" totalsRowFunction="sum" dataDxfId="1626" totalsRowDxfId="1625"/>
    <tableColumn id="6" name="MAI" totalsRowFunction="sum" dataDxfId="1624" totalsRowDxfId="1623"/>
    <tableColumn id="7" name="JUN" totalsRowFunction="sum" dataDxfId="1622" totalsRowDxfId="1621"/>
    <tableColumn id="8" name="JUL" totalsRowFunction="sum" dataDxfId="1620" totalsRowDxfId="1619"/>
    <tableColumn id="9" name="AGO" totalsRowFunction="sum" dataDxfId="1618" totalsRowDxfId="1617"/>
    <tableColumn id="10" name="SET" totalsRowFunction="sum" dataDxfId="1616" totalsRowDxfId="1615"/>
    <tableColumn id="11" name="OUT" totalsRowFunction="sum" dataDxfId="1614" totalsRowDxfId="1613"/>
    <tableColumn id="12" name="NOV" totalsRowFunction="sum" dataDxfId="1612" totalsRowDxfId="1611"/>
    <tableColumn id="13" name="DEZ" totalsRowFunction="sum" dataDxfId="1610" totalsRowDxfId="1609"/>
    <tableColumn id="14" name="2019" totalsRowFunction="sum" dataDxfId="1608" totalsRowDxfId="1607">
      <calculatedColumnFormula>SUM(Tabela215[[#This Row],[JAN]:[DEZ]])</calculatedColumnFormula>
    </tableColumn>
    <tableColumn id="15" name="2019[%]" dataDxfId="1606" totalsRowDxfId="1605" dataCellStyle="Porcentagem">
      <calculatedColumnFormula>Tabela215[[#This Row],[2019]]/Tabela215[[#Totals],[2019]]</calculatedColumnFormula>
    </tableColumn>
  </tableColumns>
  <tableStyleInfo name="TableStyleMedium10" showFirstColumn="0" showLastColumn="0" showRowStripes="1" showColumnStripes="0"/>
</table>
</file>

<file path=xl/tables/table55.xml><?xml version="1.0" encoding="utf-8"?>
<table xmlns="http://schemas.openxmlformats.org/spreadsheetml/2006/main" id="103" name="Tabela21517" displayName="Tabela21517" ref="B67:P73" totalsRowCount="1" headerRowDxfId="1604" dataDxfId="1603">
  <autoFilter ref="B67:P72"/>
  <tableColumns count="15">
    <tableColumn id="1" name="Motivo" dataDxfId="1602" totalsRowDxfId="1601"/>
    <tableColumn id="2" name="JAN" totalsRowFunction="sum" dataDxfId="1600" totalsRowDxfId="1599"/>
    <tableColumn id="3" name="FEV" totalsRowFunction="sum" dataDxfId="1598" totalsRowDxfId="1597"/>
    <tableColumn id="4" name="MAR" totalsRowFunction="sum" dataDxfId="1596" totalsRowDxfId="1595"/>
    <tableColumn id="5" name="ABR" totalsRowFunction="sum" dataDxfId="1594" totalsRowDxfId="1593"/>
    <tableColumn id="6" name="MAI" totalsRowFunction="sum" dataDxfId="1592" totalsRowDxfId="1591"/>
    <tableColumn id="7" name="JUN" totalsRowFunction="sum" dataDxfId="1590" totalsRowDxfId="1589"/>
    <tableColumn id="8" name="JUL" totalsRowFunction="sum" dataDxfId="1588" totalsRowDxfId="1587"/>
    <tableColumn id="9" name="AGO" totalsRowFunction="sum" dataDxfId="1586" totalsRowDxfId="1585"/>
    <tableColumn id="10" name="SET" totalsRowFunction="sum" dataDxfId="1584" totalsRowDxfId="1583"/>
    <tableColumn id="11" name="OUT" totalsRowFunction="sum" dataDxfId="1582" totalsRowDxfId="1581"/>
    <tableColumn id="12" name="NOV" totalsRowFunction="sum" dataDxfId="1580" totalsRowDxfId="1579"/>
    <tableColumn id="13" name="DEZ" totalsRowFunction="sum" dataDxfId="1578" totalsRowDxfId="1577"/>
    <tableColumn id="14" name="2019" totalsRowFunction="sum" dataDxfId="1576" totalsRowDxfId="1575">
      <calculatedColumnFormula>SUM(Tabela21517[[#This Row],[JAN]:[DEZ]])</calculatedColumnFormula>
    </tableColumn>
    <tableColumn id="15" name="2019[%]" dataDxfId="1574" totalsRowDxfId="1573" dataCellStyle="Porcentagem">
      <calculatedColumnFormula>Tabela21517[[#This Row],[2019]]/Tabela21517[[#Totals],[2019]]</calculatedColumnFormula>
    </tableColumn>
  </tableColumns>
  <tableStyleInfo name="TableStyleMedium10" showFirstColumn="0" showLastColumn="0" showRowStripes="1" showColumnStripes="0"/>
</table>
</file>

<file path=xl/tables/table56.xml><?xml version="1.0" encoding="utf-8"?>
<table xmlns="http://schemas.openxmlformats.org/spreadsheetml/2006/main" id="104" name="Tabela2151718" displayName="Tabela2151718" ref="B75:O81" totalsRowCount="1" headerRowDxfId="1572" dataDxfId="1571">
  <autoFilter ref="B75:O80"/>
  <tableColumns count="14">
    <tableColumn id="1" name="Motivo" dataDxfId="1570" totalsRowDxfId="1569"/>
    <tableColumn id="2" name="JAN" totalsRowLabel=" 13,22 " dataDxfId="1568" totalsRowDxfId="1567"/>
    <tableColumn id="3" name="FEV" totalsRowLabel=" 14,70 " dataDxfId="1566" totalsRowDxfId="1565"/>
    <tableColumn id="4" name="MAR" totalsRowLabel=" 11,85 " dataDxfId="1564" totalsRowDxfId="1563"/>
    <tableColumn id="5" name="ABR" totalsRowLabel=" 22,63 " dataDxfId="1562" totalsRowDxfId="1561"/>
    <tableColumn id="6" name="MAI" totalsRowLabel=" 12,28 " dataDxfId="1560" totalsRowDxfId="1559"/>
    <tableColumn id="7" name="JUN" totalsRowLabel=" 14,12 " dataDxfId="1558" totalsRowDxfId="1557"/>
    <tableColumn id="8" name="JUL" totalsRowLabel=" 12,45 " dataDxfId="1556" totalsRowDxfId="1555"/>
    <tableColumn id="9" name="AGO" totalsRowLabel=" 25,82 " dataDxfId="1554" totalsRowDxfId="1553"/>
    <tableColumn id="10" name="SET" totalsRowLabel=" 14,08 " dataDxfId="1552" totalsRowDxfId="1551"/>
    <tableColumn id="11" name="OUT" totalsRowLabel="  " dataDxfId="1550" totalsRowDxfId="1549"/>
    <tableColumn id="12" name="NOV" totalsRowLabel=" 14,42 " dataDxfId="1548" totalsRowDxfId="1547"/>
    <tableColumn id="13" name="DEZ" totalsRowLabel="  " dataDxfId="1546" totalsRowDxfId="1545"/>
    <tableColumn id="14" name="2019" totalsRowLabel=" 14,22 " dataDxfId="1544" totalsRowDxfId="1543"/>
  </tableColumns>
  <tableStyleInfo name="TableStyleMedium24" showFirstColumn="0" showLastColumn="0" showRowStripes="1" showColumnStripes="0"/>
</table>
</file>

<file path=xl/tables/table57.xml><?xml version="1.0" encoding="utf-8"?>
<table xmlns="http://schemas.openxmlformats.org/spreadsheetml/2006/main" id="105" name="Tabela2151719" displayName="Tabela2151719" ref="B91:P97" totalsRowCount="1" headerRowDxfId="1542" dataDxfId="1541">
  <autoFilter ref="B91:P96"/>
  <tableColumns count="15">
    <tableColumn id="1" name="Motivo" dataDxfId="1540" totalsRowDxfId="1539"/>
    <tableColumn id="2" name="JAN" totalsRowFunction="sum" dataDxfId="1538" totalsRowDxfId="1537" dataCellStyle="Moeda"/>
    <tableColumn id="3" name="FEV" totalsRowFunction="sum" dataDxfId="1536" totalsRowDxfId="1535" dataCellStyle="Moeda"/>
    <tableColumn id="4" name="MAR" totalsRowFunction="sum" dataDxfId="1534" totalsRowDxfId="1533" dataCellStyle="Moeda"/>
    <tableColumn id="5" name="ABR" totalsRowFunction="sum" dataDxfId="1532" totalsRowDxfId="1531" dataCellStyle="Moeda"/>
    <tableColumn id="6" name="MAI" totalsRowFunction="sum" dataDxfId="1530" totalsRowDxfId="1529" dataCellStyle="Moeda"/>
    <tableColumn id="7" name="JUN" totalsRowFunction="sum" dataDxfId="1528" totalsRowDxfId="1527" dataCellStyle="Moeda"/>
    <tableColumn id="8" name="JUL" totalsRowFunction="sum" dataDxfId="1526" totalsRowDxfId="1525" dataCellStyle="Moeda"/>
    <tableColumn id="9" name="AGO" totalsRowFunction="sum" dataDxfId="1524" totalsRowDxfId="1523" dataCellStyle="Moeda"/>
    <tableColumn id="10" name="SET" totalsRowFunction="sum" dataDxfId="1522" totalsRowDxfId="1521" dataCellStyle="Moeda"/>
    <tableColumn id="11" name="OUT" totalsRowFunction="sum" dataDxfId="1520" totalsRowDxfId="1519" dataCellStyle="Moeda"/>
    <tableColumn id="12" name="NOV" totalsRowFunction="sum" dataDxfId="1518" totalsRowDxfId="1517" dataCellStyle="Moeda"/>
    <tableColumn id="13" name="DEZ" totalsRowFunction="sum" dataDxfId="1516" totalsRowDxfId="1515" dataCellStyle="Moeda"/>
    <tableColumn id="14" name="2019" totalsRowFunction="sum" dataDxfId="1514" totalsRowDxfId="1513" dataCellStyle="Moeda">
      <calculatedColumnFormula>SUM(Tabela2151719[[#This Row],[JAN]:[DEZ]])</calculatedColumnFormula>
    </tableColumn>
    <tableColumn id="15" name="2019[%]" dataDxfId="1512" totalsRowDxfId="1511" dataCellStyle="Porcentagem">
      <calculatedColumnFormula>Tabela2151719[[#This Row],[2019]]/Tabela2151719[[#Totals],[2019]]</calculatedColumnFormula>
    </tableColumn>
  </tableColumns>
  <tableStyleInfo name="TableStyleMedium10" showFirstColumn="0" showLastColumn="0" showRowStripes="1" showColumnStripes="0"/>
</table>
</file>

<file path=xl/tables/table58.xml><?xml version="1.0" encoding="utf-8"?>
<table xmlns="http://schemas.openxmlformats.org/spreadsheetml/2006/main" id="106" name="Tabela215171920" displayName="Tabela215171920" ref="B99:P105" totalsRowCount="1" headerRowDxfId="1510" dataDxfId="1509">
  <autoFilter ref="B99:P104"/>
  <tableColumns count="15">
    <tableColumn id="1" name="Motivo" dataDxfId="1508" totalsRowDxfId="1507"/>
    <tableColumn id="2" name="JAN" totalsRowFunction="sum" dataDxfId="1506" totalsRowDxfId="1505" dataCellStyle="Moeda"/>
    <tableColumn id="3" name="FEV" totalsRowFunction="sum" dataDxfId="1504" totalsRowDxfId="1503" dataCellStyle="Moeda"/>
    <tableColumn id="4" name="MAR" totalsRowFunction="sum" dataDxfId="1502" totalsRowDxfId="1501" dataCellStyle="Moeda"/>
    <tableColumn id="5" name="ABR" totalsRowFunction="sum" dataDxfId="1500" totalsRowDxfId="1499" dataCellStyle="Moeda"/>
    <tableColumn id="6" name="MAI" totalsRowFunction="sum" dataDxfId="1498" totalsRowDxfId="1497" dataCellStyle="Moeda"/>
    <tableColumn id="7" name="JUN" totalsRowFunction="sum" dataDxfId="1496" totalsRowDxfId="1495" dataCellStyle="Moeda"/>
    <tableColumn id="8" name="JUL" totalsRowFunction="sum" dataDxfId="1494" totalsRowDxfId="1493" dataCellStyle="Moeda"/>
    <tableColumn id="9" name="AGO" totalsRowFunction="sum" dataDxfId="1492" totalsRowDxfId="1491" dataCellStyle="Moeda"/>
    <tableColumn id="10" name="SET" totalsRowFunction="sum" dataDxfId="1490" totalsRowDxfId="1489" dataCellStyle="Moeda"/>
    <tableColumn id="11" name="OUT" totalsRowFunction="sum" dataDxfId="1488" totalsRowDxfId="1487" dataCellStyle="Moeda"/>
    <tableColumn id="12" name="NOV" totalsRowFunction="sum" dataDxfId="1486" totalsRowDxfId="1485" dataCellStyle="Moeda"/>
    <tableColumn id="13" name="DEZ" totalsRowFunction="sum" dataDxfId="1484" totalsRowDxfId="1483" dataCellStyle="Moeda"/>
    <tableColumn id="14" name="2019" totalsRowFunction="sum" dataDxfId="1482" totalsRowDxfId="1481" dataCellStyle="Moeda">
      <calculatedColumnFormula>SUM(Tabela215171920[[#This Row],[JAN]:[DEZ]])</calculatedColumnFormula>
    </tableColumn>
    <tableColumn id="15" name="2019[%]" dataDxfId="1480" totalsRowDxfId="1479" dataCellStyle="Porcentagem">
      <calculatedColumnFormula>Tabela215171920[[#This Row],[2019]]/Tabela215171920[[#Totals],[2019]]</calculatedColumnFormula>
    </tableColumn>
  </tableColumns>
  <tableStyleInfo name="TableStyleMedium10" showFirstColumn="0" showLastColumn="0" showRowStripes="1" showColumnStripes="0"/>
</table>
</file>

<file path=xl/tables/table59.xml><?xml version="1.0" encoding="utf-8"?>
<table xmlns="http://schemas.openxmlformats.org/spreadsheetml/2006/main" id="107" name="Tabela21517192021" displayName="Tabela21517192021" ref="B107:P113" totalsRowCount="1" headerRowDxfId="1478" dataDxfId="1477">
  <autoFilter ref="B107:P112"/>
  <tableColumns count="15">
    <tableColumn id="1" name="Motivo" dataDxfId="1476" totalsRowDxfId="1475"/>
    <tableColumn id="2" name="JAN" totalsRowFunction="sum" dataDxfId="1474" totalsRowDxfId="1473" dataCellStyle="Moeda">
      <calculatedColumnFormula>IF(SUM(C$97,C$105)&gt;0,SUM(C92,C100),"")</calculatedColumnFormula>
    </tableColumn>
    <tableColumn id="3" name="FEV" totalsRowFunction="sum" dataDxfId="1472" totalsRowDxfId="1471" dataCellStyle="Moeda">
      <calculatedColumnFormula>IF(SUM(D$97,D$105)&gt;0,SUM(D92,D100),"")</calculatedColumnFormula>
    </tableColumn>
    <tableColumn id="4" name="MAR" totalsRowFunction="sum" dataDxfId="1470" totalsRowDxfId="1469" dataCellStyle="Moeda">
      <calculatedColumnFormula>IF(SUM(E$97,E$105)&gt;0,SUM(E92,E100),"")</calculatedColumnFormula>
    </tableColumn>
    <tableColumn id="5" name="ABR" totalsRowFunction="sum" dataDxfId="1468" totalsRowDxfId="1467" dataCellStyle="Moeda">
      <calculatedColumnFormula>IF(SUM(F$97,F$105)&gt;0,SUM(F92,F100),"")</calculatedColumnFormula>
    </tableColumn>
    <tableColumn id="6" name="MAI" totalsRowFunction="sum" dataDxfId="1466" totalsRowDxfId="1465" dataCellStyle="Moeda">
      <calculatedColumnFormula>IF(SUM(G$97,G$105)&gt;0,SUM(G92,G100),"")</calculatedColumnFormula>
    </tableColumn>
    <tableColumn id="7" name="JUN" totalsRowFunction="sum" dataDxfId="1464" totalsRowDxfId="1463" dataCellStyle="Moeda">
      <calculatedColumnFormula>IF(SUM(H$97,H$105)&gt;0,SUM(H92,H100),"")</calculatedColumnFormula>
    </tableColumn>
    <tableColumn id="8" name="JUL" totalsRowFunction="sum" dataDxfId="1462" totalsRowDxfId="1461" dataCellStyle="Moeda">
      <calculatedColumnFormula>IF(SUM(I$97,I$105)&gt;0,SUM(I92,I100),"")</calculatedColumnFormula>
    </tableColumn>
    <tableColumn id="9" name="AGO" totalsRowFunction="sum" dataDxfId="1460" totalsRowDxfId="1459" dataCellStyle="Moeda">
      <calculatedColumnFormula>IF(SUM(J$97,J$105)&gt;0,SUM(J92,J100),"")</calculatedColumnFormula>
    </tableColumn>
    <tableColumn id="10" name="SET" totalsRowFunction="sum" dataDxfId="1458" totalsRowDxfId="1457" dataCellStyle="Moeda">
      <calculatedColumnFormula>IF(SUM(K$97,K$105)&gt;0,SUM(K92,K100),"")</calculatedColumnFormula>
    </tableColumn>
    <tableColumn id="11" name="OUT" totalsRowFunction="sum" dataDxfId="1456" totalsRowDxfId="1455" dataCellStyle="Moeda">
      <calculatedColumnFormula>IF(SUM(L$97,L$105)&gt;0,SUM(L92,L100),"")</calculatedColumnFormula>
    </tableColumn>
    <tableColumn id="12" name="NOV" totalsRowFunction="sum" dataDxfId="1454" totalsRowDxfId="1453" dataCellStyle="Moeda">
      <calculatedColumnFormula>IF(SUM(M$97,M$105)&gt;0,SUM(M92,M100),"")</calculatedColumnFormula>
    </tableColumn>
    <tableColumn id="13" name="DEZ" totalsRowFunction="sum" dataDxfId="1452" totalsRowDxfId="1451" dataCellStyle="Moeda">
      <calculatedColumnFormula>IF(SUM(N$97,N$105)&gt;0,SUM(N92,N100),"")</calculatedColumnFormula>
    </tableColumn>
    <tableColumn id="14" name="2019" totalsRowFunction="sum" dataDxfId="1450" totalsRowDxfId="1449" dataCellStyle="Moeda">
      <calculatedColumnFormula>SUM(Tabela21517192021[[#This Row],[JAN]:[DEZ]])</calculatedColumnFormula>
    </tableColumn>
    <tableColumn id="15" name="2019[%]" dataDxfId="1448" totalsRowDxfId="1447" dataCellStyle="Porcentagem">
      <calculatedColumnFormula>Tabela21517192021[[#This Row],[2019]]/Tabela21517192021[[#Totals],[2019]]</calculatedColumnFormula>
    </tableColumn>
  </tableColumns>
  <tableStyleInfo name="TableStyleLight3" showFirstColumn="0" showLastColumn="0" showRowStripes="1" showColumnStripes="0"/>
</table>
</file>

<file path=xl/tables/table6.xml><?xml version="1.0" encoding="utf-8"?>
<table xmlns="http://schemas.openxmlformats.org/spreadsheetml/2006/main" id="41" name="TxOcO" displayName="TxOcO" ref="A124:N134" totalsRowShown="0" headerRowDxfId="2963" dataDxfId="2962">
  <autoFilter ref="A124:N134"/>
  <tableColumns count="14">
    <tableColumn id="1" name="UNIDADE" dataDxfId="2961"/>
    <tableColumn id="2" name="JAN" dataDxfId="2960">
      <calculatedColumnFormula>IF(B64=0,0,B4/B64)</calculatedColumnFormula>
    </tableColumn>
    <tableColumn id="3" name="FEV" dataDxfId="2959" dataCellStyle="Porcentagem">
      <calculatedColumnFormula>IF(C64=0,0,C4/C64)</calculatedColumnFormula>
    </tableColumn>
    <tableColumn id="4" name="MAR" dataDxfId="2958" dataCellStyle="Porcentagem">
      <calculatedColumnFormula>IF(D64=0,0,D4/D64)</calculatedColumnFormula>
    </tableColumn>
    <tableColumn id="5" name="ABR" dataDxfId="2957" dataCellStyle="Porcentagem">
      <calculatedColumnFormula>IF(E64=0,0,E4/E64)</calculatedColumnFormula>
    </tableColumn>
    <tableColumn id="6" name="MAI" dataDxfId="2956" dataCellStyle="Porcentagem">
      <calculatedColumnFormula>IF(F64=0,0,F4/F64)</calculatedColumnFormula>
    </tableColumn>
    <tableColumn id="7" name="JUN" dataDxfId="2955" dataCellStyle="Porcentagem">
      <calculatedColumnFormula>IF(G64=0,0,G4/G64)</calculatedColumnFormula>
    </tableColumn>
    <tableColumn id="8" name="JUL" dataDxfId="2954" dataCellStyle="Porcentagem">
      <calculatedColumnFormula>IF(H64=0,0,H4/H64)</calculatedColumnFormula>
    </tableColumn>
    <tableColumn id="9" name="AGO" dataDxfId="2953" dataCellStyle="Porcentagem">
      <calculatedColumnFormula>IF(I64=0,0,I4/I64)</calculatedColumnFormula>
    </tableColumn>
    <tableColumn id="10" name="SET" dataDxfId="2952" dataCellStyle="Porcentagem">
      <calculatedColumnFormula>IF(J64=0,0,J4/J64)</calculatedColumnFormula>
    </tableColumn>
    <tableColumn id="11" name="OUT" dataDxfId="2951" dataCellStyle="Porcentagem">
      <calculatedColumnFormula>IF(K64=0,0,K4/K64)</calculatedColumnFormula>
    </tableColumn>
    <tableColumn id="12" name="NOV" dataDxfId="2950" dataCellStyle="Porcentagem">
      <calculatedColumnFormula>IF(L64=0,0,L4/L64)</calculatedColumnFormula>
    </tableColumn>
    <tableColumn id="13" name="DEZ" dataDxfId="2949" dataCellStyle="Porcentagem">
      <calculatedColumnFormula>IF(M64=0,0,M4/M64)</calculatedColumnFormula>
    </tableColumn>
    <tableColumn id="14" name="2019" dataDxfId="2948" dataCellStyle="Porcentagem">
      <calculatedColumnFormula>IF(N64=0,0,N4/N64)</calculatedColumnFormula>
    </tableColumn>
  </tableColumns>
  <tableStyleInfo name="TableStyleLight21" showFirstColumn="0" showLastColumn="0" showRowStripes="1" showColumnStripes="0"/>
</table>
</file>

<file path=xl/tables/table60.xml><?xml version="1.0" encoding="utf-8"?>
<table xmlns="http://schemas.openxmlformats.org/spreadsheetml/2006/main" id="108" name="Tabela2151719202122" displayName="Tabela2151719202122" ref="B115:O121" totalsRowCount="1" headerRowDxfId="1446" dataDxfId="1445">
  <autoFilter ref="B115:O120"/>
  <tableColumns count="14">
    <tableColumn id="1" name="Motivo" dataDxfId="1444" totalsRowDxfId="1443"/>
    <tableColumn id="2" name="JAN" totalsRowLabel=" R$ 2.158,53 " dataDxfId="1442" totalsRowDxfId="1441" dataCellStyle="Moeda"/>
    <tableColumn id="3" name="FEV" totalsRowLabel=" R$ 2.192,83 " dataDxfId="1440" totalsRowDxfId="1439" dataCellStyle="Moeda"/>
    <tableColumn id="4" name="MAR" totalsRowLabel=" R$ 1.850,96 " dataDxfId="1438" totalsRowDxfId="1437" dataCellStyle="Moeda"/>
    <tableColumn id="5" name="ABR" totalsRowLabel=" R$ 3.919,31 " dataDxfId="1436" totalsRowDxfId="1435" dataCellStyle="Moeda"/>
    <tableColumn id="6" name="MAI" totalsRowLabel=" R$ 1.804,12 " dataDxfId="1434" totalsRowDxfId="1433" dataCellStyle="Moeda"/>
    <tableColumn id="7" name="JUN" totalsRowLabel=" R$ 2.364,56 " dataDxfId="1432" totalsRowDxfId="1431" dataCellStyle="Moeda"/>
    <tableColumn id="8" name="JUL" totalsRowLabel=" R$ 2.338,57 " dataDxfId="1430" totalsRowDxfId="1429" dataCellStyle="Moeda"/>
    <tableColumn id="9" name="AGO" totalsRowLabel=" R$ 2.414,88 " dataDxfId="1428" totalsRowDxfId="1427" dataCellStyle="Moeda"/>
    <tableColumn id="10" name="SET" totalsRowLabel=" R$ 1.898,21 " dataDxfId="1426" totalsRowDxfId="1425" dataCellStyle="Moeda"/>
    <tableColumn id="11" name="OUT" totalsRowLabel=" R$ 1.760,42 " dataDxfId="1424" totalsRowDxfId="1423" dataCellStyle="Moeda"/>
    <tableColumn id="12" name="NOV" totalsRowLabel=" R$ 1.904,22 " dataDxfId="1422" totalsRowDxfId="1421" dataCellStyle="Moeda"/>
    <tableColumn id="13" name="DEZ" totalsRowLabel="  " dataDxfId="1420" totalsRowDxfId="1419" dataCellStyle="Moeda"/>
    <tableColumn id="14" name="2019" totalsRowLabel=" R$ 2.099,15 " dataDxfId="1418" totalsRowDxfId="1417" dataCellStyle="Moeda"/>
  </tableColumns>
  <tableStyleInfo name="TableStyleMedium24" showFirstColumn="0" showLastColumn="0" showRowStripes="1" showColumnStripes="0"/>
</table>
</file>

<file path=xl/tables/table61.xml><?xml version="1.0" encoding="utf-8"?>
<table xmlns="http://schemas.openxmlformats.org/spreadsheetml/2006/main" id="109" name="Tabela2151723" displayName="Tabela2151723" ref="B83:P89" totalsRowCount="1" headerRowDxfId="1416" dataDxfId="1415">
  <autoFilter ref="B83:P88"/>
  <tableColumns count="15">
    <tableColumn id="1" name="Motivo" dataDxfId="1414" totalsRowDxfId="1413"/>
    <tableColumn id="2" name="JAN" totalsRowFunction="sum" dataDxfId="1412" totalsRowDxfId="1411"/>
    <tableColumn id="3" name="FEV" totalsRowFunction="sum" dataDxfId="1410" totalsRowDxfId="1409"/>
    <tableColumn id="4" name="MAR" totalsRowFunction="sum" dataDxfId="1408" totalsRowDxfId="1407"/>
    <tableColumn id="5" name="ABR" totalsRowFunction="sum" dataDxfId="1406" totalsRowDxfId="1405"/>
    <tableColumn id="6" name="MAI" totalsRowFunction="sum" dataDxfId="1404" totalsRowDxfId="1403"/>
    <tableColumn id="7" name="JUN" totalsRowFunction="sum" dataDxfId="1402" totalsRowDxfId="1401"/>
    <tableColumn id="8" name="JUL" totalsRowFunction="sum" dataDxfId="1400" totalsRowDxfId="1399"/>
    <tableColumn id="9" name="AGO" totalsRowFunction="sum" dataDxfId="1398" totalsRowDxfId="1397"/>
    <tableColumn id="10" name="SET" totalsRowFunction="sum" dataDxfId="1396" totalsRowDxfId="1395"/>
    <tableColumn id="11" name="OUT" totalsRowFunction="sum" dataDxfId="1394" totalsRowDxfId="1393"/>
    <tableColumn id="12" name="NOV" totalsRowFunction="sum" dataDxfId="1392" totalsRowDxfId="1391"/>
    <tableColumn id="13" name="DEZ" totalsRowFunction="sum" dataDxfId="1390" totalsRowDxfId="1389"/>
    <tableColumn id="14" name="2019" totalsRowFunction="sum" dataDxfId="1388" totalsRowDxfId="1387">
      <calculatedColumnFormula>SUM(Tabela2151723[[#This Row],[JAN]:[DEZ]])</calculatedColumnFormula>
    </tableColumn>
    <tableColumn id="15" name="2019[%]" dataDxfId="1386" totalsRowDxfId="1385" dataCellStyle="Porcentagem">
      <calculatedColumnFormula>Tabela2151723[[#This Row],[2019]]/Tabela2151723[[#Totals],[2019]]</calculatedColumnFormula>
    </tableColumn>
  </tableColumns>
  <tableStyleInfo name="TableStyleMedium10" showFirstColumn="0" showLastColumn="0" showRowStripes="1" showColumnStripes="0"/>
</table>
</file>

<file path=xl/tables/table62.xml><?xml version="1.0" encoding="utf-8"?>
<table xmlns="http://schemas.openxmlformats.org/spreadsheetml/2006/main" id="110" name="Tabela2151719202124" displayName="Tabela2151719202124" ref="B123:P129" totalsRowCount="1" headerRowDxfId="1384" dataDxfId="1383">
  <autoFilter ref="B123:P128"/>
  <tableColumns count="15">
    <tableColumn id="1" name="Motivo" dataDxfId="1382" totalsRowDxfId="1381"/>
    <tableColumn id="2" name="JAN" totalsRowFunction="sum" dataDxfId="1380" totalsRowDxfId="1379" dataCellStyle="Moeda"/>
    <tableColumn id="3" name="FEV" totalsRowFunction="sum" dataDxfId="1378" totalsRowDxfId="1377" dataCellStyle="Moeda"/>
    <tableColumn id="4" name="MAR" totalsRowFunction="sum" dataDxfId="1376" totalsRowDxfId="1375" dataCellStyle="Moeda"/>
    <tableColumn id="5" name="ABR" totalsRowFunction="sum" dataDxfId="1374" totalsRowDxfId="1373" dataCellStyle="Moeda"/>
    <tableColumn id="6" name="MAI" totalsRowFunction="sum" dataDxfId="1372" totalsRowDxfId="1371" dataCellStyle="Moeda"/>
    <tableColumn id="7" name="JUN" totalsRowFunction="sum" dataDxfId="1370" totalsRowDxfId="1369" dataCellStyle="Moeda"/>
    <tableColumn id="8" name="JUL" totalsRowFunction="sum" dataDxfId="1368" totalsRowDxfId="1367" dataCellStyle="Moeda"/>
    <tableColumn id="9" name="AGO" totalsRowFunction="sum" dataDxfId="1366" totalsRowDxfId="1365" dataCellStyle="Moeda"/>
    <tableColumn id="10" name="SET" totalsRowFunction="sum" dataDxfId="1364" totalsRowDxfId="1363" dataCellStyle="Moeda"/>
    <tableColumn id="11" name="OUT" totalsRowFunction="sum" dataDxfId="1362" totalsRowDxfId="1361" dataCellStyle="Moeda"/>
    <tableColumn id="12" name="NOV" totalsRowFunction="sum" dataDxfId="1360" totalsRowDxfId="1359" dataCellStyle="Moeda"/>
    <tableColumn id="13" name="DEZ" totalsRowFunction="sum" dataDxfId="1358" totalsRowDxfId="1357" dataCellStyle="Moeda"/>
    <tableColumn id="14" name="2019" totalsRowFunction="sum" dataDxfId="1356" totalsRowDxfId="1355" dataCellStyle="Moeda">
      <calculatedColumnFormula>SUM(Tabela2151719202124[[#This Row],[JAN]:[DEZ]])</calculatedColumnFormula>
    </tableColumn>
    <tableColumn id="15" name="2019[%]" dataDxfId="1354" totalsRowDxfId="1353" dataCellStyle="Porcentagem">
      <calculatedColumnFormula>Tabela2151719202124[[#This Row],[2019]]/Tabela2151719202124[[#Totals],[2019]]</calculatedColumnFormula>
    </tableColumn>
  </tableColumns>
  <tableStyleInfo name="TableStyleMedium10" showFirstColumn="0" showLastColumn="0" showRowStripes="1" showColumnStripes="0"/>
</table>
</file>

<file path=xl/tables/table63.xml><?xml version="1.0" encoding="utf-8"?>
<table xmlns="http://schemas.openxmlformats.org/spreadsheetml/2006/main" id="111" name="Tabela215171920212425" displayName="Tabela215171920212425" ref="B131:P137" totalsRowCount="1" headerRowDxfId="1352" dataDxfId="1351">
  <autoFilter ref="B131:P136"/>
  <tableColumns count="15">
    <tableColumn id="1" name="Motivo" dataDxfId="1350" totalsRowDxfId="1349"/>
    <tableColumn id="2" name="JAN" totalsRowFunction="sum" dataDxfId="1348" totalsRowDxfId="1347" dataCellStyle="Moeda"/>
    <tableColumn id="3" name="FEV" totalsRowFunction="sum" dataDxfId="1346" totalsRowDxfId="1345" dataCellStyle="Moeda"/>
    <tableColumn id="4" name="MAR" totalsRowFunction="sum" dataDxfId="1344" totalsRowDxfId="1343" dataCellStyle="Moeda"/>
    <tableColumn id="5" name="ABR" totalsRowFunction="sum" dataDxfId="1342" totalsRowDxfId="1341" dataCellStyle="Moeda"/>
    <tableColumn id="6" name="MAI" totalsRowFunction="sum" dataDxfId="1340" totalsRowDxfId="1339" dataCellStyle="Moeda"/>
    <tableColumn id="7" name="JUN" totalsRowFunction="sum" dataDxfId="1338" totalsRowDxfId="1337" dataCellStyle="Moeda"/>
    <tableColumn id="8" name="JUL" totalsRowFunction="sum" dataDxfId="1336" totalsRowDxfId="1335" dataCellStyle="Moeda"/>
    <tableColumn id="9" name="AGO" totalsRowFunction="sum" dataDxfId="1334" totalsRowDxfId="1333" dataCellStyle="Moeda"/>
    <tableColumn id="10" name="SET" totalsRowFunction="sum" dataDxfId="1332" totalsRowDxfId="1331" dataCellStyle="Moeda"/>
    <tableColumn id="11" name="OUT" totalsRowFunction="sum" dataDxfId="1330" totalsRowDxfId="1329" dataCellStyle="Moeda"/>
    <tableColumn id="12" name="NOV" totalsRowFunction="sum" dataDxfId="1328" totalsRowDxfId="1327" dataCellStyle="Moeda"/>
    <tableColumn id="13" name="DEZ" totalsRowFunction="sum" dataDxfId="1326" totalsRowDxfId="1325" dataCellStyle="Moeda"/>
    <tableColumn id="14" name="2019" totalsRowFunction="sum" dataDxfId="1324" totalsRowDxfId="1323" dataCellStyle="Moeda">
      <calculatedColumnFormula>SUM(Tabela215171920212425[[#This Row],[JAN]:[DEZ]])</calculatedColumnFormula>
    </tableColumn>
    <tableColumn id="15" name="2019[%]" dataDxfId="1322" totalsRowDxfId="1321" dataCellStyle="Porcentagem">
      <calculatedColumnFormula>Tabela215171920212425[[#This Row],[2019]]/Tabela215171920212425[[#Totals],[2019]]</calculatedColumnFormula>
    </tableColumn>
  </tableColumns>
  <tableStyleInfo name="TableStyleMedium10" showFirstColumn="0" showLastColumn="0" showRowStripes="1" showColumnStripes="0"/>
</table>
</file>

<file path=xl/tables/table64.xml><?xml version="1.0" encoding="utf-8"?>
<table xmlns="http://schemas.openxmlformats.org/spreadsheetml/2006/main" id="133" name="Tabela2134" displayName="Tabela2134" ref="A3:O7" totalsRowCount="1" headerRowDxfId="1320" dataDxfId="1319">
  <autoFilter ref="A3:O6"/>
  <tableColumns count="15">
    <tableColumn id="1" name="SITUAÇÃO" dataDxfId="1318" totalsRowDxfId="1317"/>
    <tableColumn id="2" name="JAN" totalsRowFunction="sum" dataDxfId="1316" totalsRowDxfId="1315"/>
    <tableColumn id="3" name="FEV" totalsRowFunction="sum" dataDxfId="1314" totalsRowDxfId="1313"/>
    <tableColumn id="4" name="MAR" totalsRowFunction="sum" dataDxfId="1312" totalsRowDxfId="1311"/>
    <tableColumn id="5" name="ABR" totalsRowFunction="sum" dataDxfId="1310" totalsRowDxfId="1309"/>
    <tableColumn id="6" name="MAI" totalsRowFunction="sum" dataDxfId="1308" totalsRowDxfId="1307"/>
    <tableColumn id="7" name="JUN" totalsRowFunction="sum" dataDxfId="1306" totalsRowDxfId="1305"/>
    <tableColumn id="8" name="JUL" totalsRowFunction="sum" dataDxfId="1304" totalsRowDxfId="1303"/>
    <tableColumn id="9" name="AGO" totalsRowFunction="sum" dataDxfId="1302" totalsRowDxfId="1301"/>
    <tableColumn id="10" name="SET" totalsRowFunction="sum" dataDxfId="1300" totalsRowDxfId="1299"/>
    <tableColumn id="11" name="OUT" totalsRowFunction="sum" dataDxfId="1298" totalsRowDxfId="1297"/>
    <tableColumn id="12" name="NOV" totalsRowFunction="sum" dataDxfId="1296" totalsRowDxfId="1295"/>
    <tableColumn id="13" name="DEZ" totalsRowFunction="sum" dataDxfId="1294" totalsRowDxfId="1293"/>
    <tableColumn id="14" name="2019" totalsRowFunction="sum" dataDxfId="1292" totalsRowDxfId="1291">
      <calculatedColumnFormula>SUM(Tabela2134[[#This Row],[JAN]:[DEZ]])</calculatedColumnFormula>
    </tableColumn>
    <tableColumn id="15" name="2019 [%]" dataDxfId="1290" totalsRowDxfId="1289">
      <calculatedColumnFormula>Tabela2134[[#This Row],[2019]]/Tabela2134[[#Totals],[2019]]</calculatedColumnFormula>
    </tableColumn>
  </tableColumns>
  <tableStyleInfo name="TableStyleMedium14" showFirstColumn="0" showLastColumn="0" showRowStripes="1" showColumnStripes="0"/>
</table>
</file>

<file path=xl/tables/table65.xml><?xml version="1.0" encoding="utf-8"?>
<table xmlns="http://schemas.openxmlformats.org/spreadsheetml/2006/main" id="134" name="Tabela24135" displayName="Tabela24135" ref="A9:O13" totalsRowCount="1" headerRowDxfId="1288" dataDxfId="1287">
  <autoFilter ref="A9:O12"/>
  <tableColumns count="15">
    <tableColumn id="1" name="SITUAÇÃO" dataDxfId="1286" totalsRowDxfId="1285"/>
    <tableColumn id="2" name="JAN" totalsRowFunction="sum" dataDxfId="1284" totalsRowDxfId="1283" dataCellStyle="Moeda"/>
    <tableColumn id="3" name="FEV" totalsRowFunction="sum" dataDxfId="1282" totalsRowDxfId="1281" dataCellStyle="Moeda"/>
    <tableColumn id="4" name="MAR" totalsRowFunction="sum" dataDxfId="1280" totalsRowDxfId="1279" dataCellStyle="Moeda"/>
    <tableColumn id="5" name="ABR" totalsRowFunction="sum" dataDxfId="1278" totalsRowDxfId="1277" dataCellStyle="Moeda"/>
    <tableColumn id="6" name="MAI" totalsRowFunction="sum" dataDxfId="1276" totalsRowDxfId="1275" dataCellStyle="Moeda"/>
    <tableColumn id="7" name="JUN" totalsRowFunction="sum" dataDxfId="1274" totalsRowDxfId="1273" dataCellStyle="Moeda"/>
    <tableColumn id="8" name="JUL" totalsRowFunction="sum" dataDxfId="1272" totalsRowDxfId="1271" dataCellStyle="Moeda"/>
    <tableColumn id="9" name="AGO" totalsRowFunction="sum" dataDxfId="1270" totalsRowDxfId="1269" dataCellStyle="Moeda"/>
    <tableColumn id="10" name="SET" totalsRowFunction="sum" dataDxfId="1268" totalsRowDxfId="1267" dataCellStyle="Moeda"/>
    <tableColumn id="11" name="OUT" totalsRowFunction="sum" dataDxfId="1266" totalsRowDxfId="1265" dataCellStyle="Moeda"/>
    <tableColumn id="12" name="NOV" totalsRowFunction="sum" dataDxfId="1264" totalsRowDxfId="1263" dataCellStyle="Moeda"/>
    <tableColumn id="13" name="DEZ" totalsRowFunction="sum" dataDxfId="1262" totalsRowDxfId="1261" dataCellStyle="Moeda"/>
    <tableColumn id="14" name="2019" totalsRowFunction="sum" dataDxfId="1260" totalsRowDxfId="1259" dataCellStyle="Moeda">
      <calculatedColumnFormula>SUM(Tabela24135[[#This Row],[JAN]:[DEZ]])</calculatedColumnFormula>
    </tableColumn>
    <tableColumn id="15" name="2019 [%]" dataDxfId="1258" totalsRowDxfId="1257">
      <calculatedColumnFormula>Tabela24135[[#This Row],[2019]]/Tabela24135[[#Totals],[2019]]</calculatedColumnFormula>
    </tableColumn>
  </tableColumns>
  <tableStyleInfo name="TableStyleMedium14" showFirstColumn="0" showLastColumn="0" showRowStripes="1" showColumnStripes="0"/>
</table>
</file>

<file path=xl/tables/table66.xml><?xml version="1.0" encoding="utf-8"?>
<table xmlns="http://schemas.openxmlformats.org/spreadsheetml/2006/main" id="136" name="Tabela26" displayName="Tabela26" ref="A15:O20" totalsRowCount="1" headerRowDxfId="1256" dataDxfId="1255">
  <autoFilter ref="A15:O19"/>
  <tableColumns count="15">
    <tableColumn id="1" name="GRUPO" dataDxfId="1254" totalsRowDxfId="1253"/>
    <tableColumn id="2" name="JAN" totalsRowFunction="sum" dataDxfId="1252" totalsRowDxfId="1251"/>
    <tableColumn id="3" name="FEV" totalsRowFunction="sum" dataDxfId="1250" totalsRowDxfId="1249"/>
    <tableColumn id="4" name="MAR" totalsRowFunction="sum" dataDxfId="1248" totalsRowDxfId="1247"/>
    <tableColumn id="5" name="ABR" totalsRowFunction="sum" dataDxfId="1246" totalsRowDxfId="1245"/>
    <tableColumn id="6" name="MAI" totalsRowFunction="sum" dataDxfId="1244" totalsRowDxfId="1243"/>
    <tableColumn id="7" name="JUN" totalsRowFunction="sum" dataDxfId="1242" totalsRowDxfId="1241"/>
    <tableColumn id="8" name="JUL" totalsRowFunction="sum" dataDxfId="1240" totalsRowDxfId="1239"/>
    <tableColumn id="9" name="AGO" totalsRowFunction="sum" dataDxfId="1238" totalsRowDxfId="1237"/>
    <tableColumn id="10" name="SET" totalsRowFunction="sum" dataDxfId="1236" totalsRowDxfId="1235"/>
    <tableColumn id="11" name="OUT" totalsRowFunction="sum" dataDxfId="1234" totalsRowDxfId="1233"/>
    <tableColumn id="12" name="NOV" totalsRowFunction="sum" dataDxfId="1232" totalsRowDxfId="1231"/>
    <tableColumn id="13" name="DEZ" totalsRowFunction="sum" dataDxfId="1230" totalsRowDxfId="1229"/>
    <tableColumn id="14" name="2019" totalsRowFunction="sum" dataDxfId="1228" totalsRowDxfId="1227">
      <calculatedColumnFormula>SUM(Tabela26[[#This Row],[JAN]:[DEZ]])</calculatedColumnFormula>
    </tableColumn>
    <tableColumn id="15" name="2019 [%]" dataDxfId="1226" totalsRowDxfId="1225">
      <calculatedColumnFormula>Tabela26[[#This Row],[2019]]/Tabela26[[#Totals],[2019]]</calculatedColumnFormula>
    </tableColumn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137" name="Tabela267" displayName="Tabela267" ref="A22:O27" totalsRowCount="1" headerRowDxfId="1224" dataDxfId="1223">
  <autoFilter ref="A22:O26"/>
  <tableColumns count="15">
    <tableColumn id="1" name="GRUPO" dataDxfId="1222" totalsRowDxfId="1221"/>
    <tableColumn id="2" name="JAN" totalsRowFunction="sum" dataDxfId="1220" totalsRowDxfId="1219" dataCellStyle="Moeda"/>
    <tableColumn id="3" name="FEV" totalsRowFunction="sum" dataDxfId="1218" totalsRowDxfId="1217" dataCellStyle="Moeda"/>
    <tableColumn id="4" name="MAR" totalsRowFunction="sum" dataDxfId="1216" totalsRowDxfId="1215" dataCellStyle="Moeda"/>
    <tableColumn id="5" name="ABR" totalsRowFunction="sum" dataDxfId="1214" totalsRowDxfId="1213" dataCellStyle="Moeda"/>
    <tableColumn id="6" name="MAI" totalsRowFunction="sum" dataDxfId="1212" totalsRowDxfId="1211" dataCellStyle="Moeda"/>
    <tableColumn id="7" name="JUN" totalsRowFunction="sum" dataDxfId="1210" totalsRowDxfId="1209" dataCellStyle="Moeda"/>
    <tableColumn id="8" name="JUL" totalsRowFunction="sum" dataDxfId="1208" totalsRowDxfId="1207" dataCellStyle="Moeda"/>
    <tableColumn id="9" name="AGO" totalsRowFunction="sum" dataDxfId="1206" totalsRowDxfId="1205" dataCellStyle="Moeda"/>
    <tableColumn id="10" name="SET" totalsRowFunction="sum" dataDxfId="1204" totalsRowDxfId="1203" dataCellStyle="Moeda"/>
    <tableColumn id="11" name="OUT" totalsRowFunction="sum" dataDxfId="1202" totalsRowDxfId="1201" dataCellStyle="Moeda"/>
    <tableColumn id="12" name="NOV" totalsRowFunction="sum" dataDxfId="1200" totalsRowDxfId="1199" dataCellStyle="Moeda"/>
    <tableColumn id="13" name="DEZ" totalsRowFunction="sum" dataDxfId="1198" totalsRowDxfId="1197" dataCellStyle="Moeda"/>
    <tableColumn id="14" name="2019" totalsRowFunction="sum" dataDxfId="1196" totalsRowDxfId="1195" dataCellStyle="Moeda">
      <calculatedColumnFormula>SUM(Tabela267[[#This Row],[JAN]:[DEZ]])</calculatedColumnFormula>
    </tableColumn>
    <tableColumn id="15" name="2019 [%]" dataDxfId="1194" totalsRowDxfId="1193">
      <calculatedColumnFormula>Tabela267[[#This Row],[2019]]/Tabela267[[#Totals],[2019]]</calculatedColumnFormula>
    </tableColumn>
  </tableColumns>
  <tableStyleInfo name="TableStyleMedium14" showFirstColumn="0" showLastColumn="0" showRowStripes="1" showColumnStripes="0"/>
</table>
</file>

<file path=xl/tables/table68.xml><?xml version="1.0" encoding="utf-8"?>
<table xmlns="http://schemas.openxmlformats.org/spreadsheetml/2006/main" id="138" name="Tabela268" displayName="Tabela268" ref="A30:O32" totalsRowCount="1" headerRowDxfId="1192" dataDxfId="1191">
  <autoFilter ref="A30:O31"/>
  <tableColumns count="15">
    <tableColumn id="1" name="GRUPO" dataDxfId="1190" totalsRowDxfId="1189"/>
    <tableColumn id="2" name="JAN" totalsRowFunction="sum" dataDxfId="1188" totalsRowDxfId="1187"/>
    <tableColumn id="3" name="FEV" totalsRowFunction="sum" dataDxfId="1186" totalsRowDxfId="1185"/>
    <tableColumn id="4" name="MAR" totalsRowFunction="sum" dataDxfId="1184" totalsRowDxfId="1183"/>
    <tableColumn id="5" name="ABR" totalsRowFunction="sum" dataDxfId="1182" totalsRowDxfId="1181"/>
    <tableColumn id="6" name="MAI" totalsRowFunction="sum" dataDxfId="1180" totalsRowDxfId="1179"/>
    <tableColumn id="7" name="JUN" totalsRowFunction="sum" dataDxfId="1178" totalsRowDxfId="1177"/>
    <tableColumn id="8" name="JUL" totalsRowFunction="sum" dataDxfId="1176" totalsRowDxfId="1175"/>
    <tableColumn id="9" name="AGO" totalsRowFunction="sum" dataDxfId="1174" totalsRowDxfId="1173"/>
    <tableColumn id="10" name="SET" totalsRowFunction="sum" dataDxfId="1172" totalsRowDxfId="1171"/>
    <tableColumn id="11" name="OUT" totalsRowFunction="sum" dataDxfId="1170" totalsRowDxfId="1169"/>
    <tableColumn id="12" name="NOV" totalsRowFunction="sum" dataDxfId="1168" totalsRowDxfId="1167"/>
    <tableColumn id="13" name="DEZ" totalsRowFunction="sum" dataDxfId="1166" totalsRowDxfId="1165"/>
    <tableColumn id="14" name="2019" totalsRowFunction="sum" dataDxfId="1164" totalsRowDxfId="1163">
      <calculatedColumnFormula>SUM(Tabela268[[#This Row],[JAN]:[DEZ]])</calculatedColumnFormula>
    </tableColumn>
    <tableColumn id="15" name="2019 [%]" dataDxfId="1162" totalsRowDxfId="1161">
      <calculatedColumnFormula>Tabela268[[#This Row],[2019]]/Tabela268[[#Totals],[2019]]</calculatedColumnFormula>
    </tableColumn>
  </tableColumns>
  <tableStyleInfo name="TableStyleMedium14" showFirstColumn="0" showLastColumn="0" showRowStripes="1" showColumnStripes="0"/>
</table>
</file>

<file path=xl/tables/table69.xml><?xml version="1.0" encoding="utf-8"?>
<table xmlns="http://schemas.openxmlformats.org/spreadsheetml/2006/main" id="139" name="Tabela2689" displayName="Tabela2689" ref="A34:O41" totalsRowCount="1" headerRowDxfId="1160" dataDxfId="1159">
  <autoFilter ref="A34:O40"/>
  <tableColumns count="15">
    <tableColumn id="1" name="GRUPO" dataDxfId="1158" totalsRowDxfId="1157"/>
    <tableColumn id="2" name="JAN" totalsRowFunction="sum" dataDxfId="1156" totalsRowDxfId="1155"/>
    <tableColumn id="3" name="FEV" totalsRowFunction="sum" dataDxfId="1154" totalsRowDxfId="1153"/>
    <tableColumn id="4" name="MAR" totalsRowFunction="sum" dataDxfId="1152" totalsRowDxfId="1151"/>
    <tableColumn id="5" name="ABR" totalsRowFunction="sum" dataDxfId="1150" totalsRowDxfId="1149"/>
    <tableColumn id="6" name="MAI" totalsRowFunction="sum" dataDxfId="1148" totalsRowDxfId="1147"/>
    <tableColumn id="7" name="JUN" totalsRowFunction="sum" dataDxfId="1146" totalsRowDxfId="1145"/>
    <tableColumn id="8" name="JUL" totalsRowFunction="sum" dataDxfId="1144" totalsRowDxfId="1143"/>
    <tableColumn id="9" name="AGO" totalsRowFunction="sum" dataDxfId="1142" totalsRowDxfId="1141"/>
    <tableColumn id="10" name="SET" totalsRowFunction="sum" dataDxfId="1140" totalsRowDxfId="1139"/>
    <tableColumn id="11" name="OUT" totalsRowFunction="sum" dataDxfId="1138" totalsRowDxfId="1137"/>
    <tableColumn id="12" name="NOV" totalsRowFunction="sum" dataDxfId="1136" totalsRowDxfId="1135"/>
    <tableColumn id="13" name="DEZ" totalsRowFunction="sum" dataDxfId="1134" totalsRowDxfId="1133"/>
    <tableColumn id="14" name="2019" totalsRowFunction="sum" dataDxfId="1132" totalsRowDxfId="1131">
      <calculatedColumnFormula>SUM(Tabela2689[[#This Row],[JAN]:[DEZ]])</calculatedColumnFormula>
    </tableColumn>
    <tableColumn id="15" name="2019 [%]" dataDxfId="1130" totalsRowDxfId="1129">
      <calculatedColumnFormula>Tabela2689[[#This Row],[2019]]/Tabela2689[[#Totals],[2019]]</calculatedColumnFormula>
    </tableColumn>
  </tableColumns>
  <tableStyleInfo name="TableStyleMedium14" showFirstColumn="0" showLastColumn="0" showRowStripes="1" showColumnStripes="0"/>
</table>
</file>

<file path=xl/tables/table7.xml><?xml version="1.0" encoding="utf-8"?>
<table xmlns="http://schemas.openxmlformats.org/spreadsheetml/2006/main" id="44" name="IR" displayName="IR" ref="A136:N146" totalsRowShown="0" headerRowDxfId="2947" dataDxfId="2946">
  <autoFilter ref="A136:N146"/>
  <tableColumns count="14">
    <tableColumn id="1" name="UNIDADE" dataDxfId="2945"/>
    <tableColumn id="2" name="JAN" dataDxfId="2944">
      <calculatedColumnFormula>IF(B64=0,0,B28*B$1/B64)</calculatedColumnFormula>
    </tableColumn>
    <tableColumn id="3" name="FEV" dataDxfId="2943" dataCellStyle="Porcentagem">
      <calculatedColumnFormula>IF(C64=0,0,C28*C$1/C64)</calculatedColumnFormula>
    </tableColumn>
    <tableColumn id="4" name="MAR" dataDxfId="2942" dataCellStyle="Porcentagem">
      <calculatedColumnFormula>IF(D64=0,0,D28*D$1/D64)</calculatedColumnFormula>
    </tableColumn>
    <tableColumn id="5" name="ABR" dataDxfId="2941" dataCellStyle="Porcentagem">
      <calculatedColumnFormula>IF(E64=0,0,E28*E$1/E64)</calculatedColumnFormula>
    </tableColumn>
    <tableColumn id="6" name="MAI" dataDxfId="2940" dataCellStyle="Porcentagem">
      <calculatedColumnFormula>IF(F64=0,0,F28*F$1/F64)</calculatedColumnFormula>
    </tableColumn>
    <tableColumn id="7" name="JUN" dataDxfId="2939" dataCellStyle="Porcentagem">
      <calculatedColumnFormula>IF(G64=0,0,G28*G$1/G64)</calculatedColumnFormula>
    </tableColumn>
    <tableColumn id="8" name="JUL" dataDxfId="2938" dataCellStyle="Porcentagem">
      <calculatedColumnFormula>IF(H64=0,0,H28*H$1/H64)</calculatedColumnFormula>
    </tableColumn>
    <tableColumn id="9" name="AGO" dataDxfId="2937" dataCellStyle="Porcentagem">
      <calculatedColumnFormula>IF(I64=0,0,I28*I$1/I64)</calculatedColumnFormula>
    </tableColumn>
    <tableColumn id="10" name="SET" dataDxfId="2936" dataCellStyle="Porcentagem">
      <calculatedColumnFormula>IF(J64=0,0,J28*J$1/J64)</calculatedColumnFormula>
    </tableColumn>
    <tableColumn id="11" name="OUT" dataDxfId="2935" dataCellStyle="Porcentagem">
      <calculatedColumnFormula>IF(K64=0,0,K28*K$1/K64)</calculatedColumnFormula>
    </tableColumn>
    <tableColumn id="12" name="NOV" dataDxfId="2934" dataCellStyle="Porcentagem">
      <calculatedColumnFormula>IF(L64=0,0,L28*L$1/L64)</calculatedColumnFormula>
    </tableColumn>
    <tableColumn id="13" name="DEZ" dataDxfId="2933" dataCellStyle="Porcentagem">
      <calculatedColumnFormula>IF(M64=0,0,M28*M$1/M64)</calculatedColumnFormula>
    </tableColumn>
    <tableColumn id="14" name="2019" dataDxfId="2932" dataCellStyle="Porcentagem">
      <calculatedColumnFormula>IF(N64=0,0,N28*N$1/N64)</calculatedColumnFormula>
    </tableColumn>
  </tableColumns>
  <tableStyleInfo name="TableStyleLight21" showFirstColumn="0" showLastColumn="0" showRowStripes="1" showColumnStripes="0"/>
</table>
</file>

<file path=xl/tables/table70.xml><?xml version="1.0" encoding="utf-8"?>
<table xmlns="http://schemas.openxmlformats.org/spreadsheetml/2006/main" id="140" name="Tabela268910" displayName="Tabela268910" ref="A43:O48" totalsRowCount="1" headerRowDxfId="1128" dataDxfId="1127">
  <autoFilter ref="A43:O47"/>
  <tableColumns count="15">
    <tableColumn id="1" name="GRUPO" dataDxfId="1126" totalsRowDxfId="1125"/>
    <tableColumn id="2" name="JAN" totalsRowFunction="sum" dataDxfId="1124" totalsRowDxfId="1123"/>
    <tableColumn id="3" name="FEV" totalsRowFunction="sum" dataDxfId="1122" totalsRowDxfId="1121"/>
    <tableColumn id="4" name="MAR" totalsRowFunction="sum" dataDxfId="1120" totalsRowDxfId="1119"/>
    <tableColumn id="5" name="ABR" totalsRowFunction="sum" dataDxfId="1118" totalsRowDxfId="1117"/>
    <tableColumn id="6" name="MAI" totalsRowFunction="sum" dataDxfId="1116" totalsRowDxfId="1115"/>
    <tableColumn id="7" name="JUN" totalsRowFunction="sum" dataDxfId="1114" totalsRowDxfId="1113"/>
    <tableColumn id="8" name="JUL" totalsRowFunction="sum" dataDxfId="1112" totalsRowDxfId="1111"/>
    <tableColumn id="9" name="AGO" totalsRowFunction="sum" dataDxfId="1110" totalsRowDxfId="1109"/>
    <tableColumn id="10" name="SET" totalsRowFunction="sum" dataDxfId="1108" totalsRowDxfId="1107"/>
    <tableColumn id="11" name="OUT" totalsRowFunction="sum" dataDxfId="1106" totalsRowDxfId="1105"/>
    <tableColumn id="12" name="NOV" totalsRowFunction="sum" dataDxfId="1104" totalsRowDxfId="1103"/>
    <tableColumn id="13" name="DEZ" totalsRowFunction="sum" dataDxfId="1102" totalsRowDxfId="1101"/>
    <tableColumn id="14" name="2019" totalsRowFunction="sum" dataDxfId="1100" totalsRowDxfId="1099">
      <calculatedColumnFormula>SUM(Tabela268910[[#This Row],[JAN]:[DEZ]])</calculatedColumnFormula>
    </tableColumn>
    <tableColumn id="15" name="2019 [%]" dataDxfId="1098" totalsRowDxfId="1097">
      <calculatedColumnFormula>Tabela268910[[#This Row],[2019]]/Tabela268910[[#Totals],[2019]]</calculatedColumnFormula>
    </tableColumn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141" name="Tabela268911" displayName="Tabela268911" ref="A50:O54" totalsRowCount="1" headerRowDxfId="1096" dataDxfId="1095">
  <autoFilter ref="A50:O53"/>
  <tableColumns count="15">
    <tableColumn id="1" name="GRUPO" dataDxfId="1094" totalsRowDxfId="1093"/>
    <tableColumn id="2" name="JAN" totalsRowFunction="sum" dataDxfId="1092" totalsRowDxfId="1091"/>
    <tableColumn id="3" name="FEV" totalsRowFunction="sum" dataDxfId="1090" totalsRowDxfId="1089"/>
    <tableColumn id="4" name="MAR" totalsRowFunction="sum" dataDxfId="1088" totalsRowDxfId="1087"/>
    <tableColumn id="5" name="ABR" totalsRowFunction="sum" dataDxfId="1086" totalsRowDxfId="1085"/>
    <tableColumn id="6" name="MAI" totalsRowFunction="sum" dataDxfId="1084" totalsRowDxfId="1083"/>
    <tableColumn id="7" name="JUN" totalsRowFunction="sum" dataDxfId="1082" totalsRowDxfId="1081"/>
    <tableColumn id="8" name="JUL" totalsRowFunction="sum" dataDxfId="1080" totalsRowDxfId="1079"/>
    <tableColumn id="9" name="AGO" totalsRowFunction="sum" dataDxfId="1078" totalsRowDxfId="1077"/>
    <tableColumn id="10" name="SET" totalsRowFunction="sum" dataDxfId="1076" totalsRowDxfId="1075"/>
    <tableColumn id="11" name="OUT" totalsRowFunction="sum" dataDxfId="1074" totalsRowDxfId="1073"/>
    <tableColumn id="12" name="NOV" totalsRowFunction="sum" dataDxfId="1072" totalsRowDxfId="1071"/>
    <tableColumn id="13" name="DEZ" totalsRowFunction="sum" dataDxfId="1070" totalsRowDxfId="1069"/>
    <tableColumn id="14" name="2019" totalsRowFunction="sum" dataDxfId="1068" totalsRowDxfId="1067">
      <calculatedColumnFormula>SUM(Tabela268911[[#This Row],[JAN]:[DEZ]])</calculatedColumnFormula>
    </tableColumn>
    <tableColumn id="15" name="2019 [%]" dataDxfId="1066" totalsRowDxfId="1065">
      <calculatedColumnFormula>Tabela268911[[#This Row],[2019]]/Tabela268911[[#Totals],[2019]]</calculatedColumnFormula>
    </tableColumn>
  </tableColumns>
  <tableStyleInfo name="TableStyleMedium14" showFirstColumn="0" showLastColumn="0" showRowStripes="1" showColumnStripes="0"/>
</table>
</file>

<file path=xl/tables/table72.xml><?xml version="1.0" encoding="utf-8"?>
<table xmlns="http://schemas.openxmlformats.org/spreadsheetml/2006/main" id="142" name="Tabela26812" displayName="Tabela26812" ref="A57:O59" totalsRowCount="1" headerRowDxfId="1064" dataDxfId="1063">
  <autoFilter ref="A57:O58"/>
  <tableColumns count="15">
    <tableColumn id="1" name="GRUPO" dataDxfId="1062" totalsRowDxfId="1061"/>
    <tableColumn id="2" name="JAN" totalsRowFunction="sum" dataDxfId="1060" totalsRowDxfId="1059" dataCellStyle="Moeda"/>
    <tableColumn id="3" name="FEV" totalsRowFunction="sum" dataDxfId="1058" totalsRowDxfId="1057" dataCellStyle="Moeda"/>
    <tableColumn id="4" name="MAR" totalsRowFunction="sum" dataDxfId="1056" totalsRowDxfId="1055" dataCellStyle="Moeda"/>
    <tableColumn id="5" name="ABR" totalsRowFunction="sum" dataDxfId="1054" totalsRowDxfId="1053" dataCellStyle="Moeda"/>
    <tableColumn id="6" name="MAI" totalsRowFunction="sum" dataDxfId="1052" totalsRowDxfId="1051" dataCellStyle="Moeda"/>
    <tableColumn id="7" name="JUN" totalsRowFunction="sum" dataDxfId="1050" totalsRowDxfId="1049" dataCellStyle="Moeda"/>
    <tableColumn id="8" name="JUL" totalsRowFunction="sum" dataDxfId="1048" totalsRowDxfId="1047" dataCellStyle="Moeda"/>
    <tableColumn id="9" name="AGO" totalsRowFunction="sum" dataDxfId="1046" totalsRowDxfId="1045" dataCellStyle="Moeda"/>
    <tableColumn id="10" name="SET" totalsRowFunction="sum" dataDxfId="1044" totalsRowDxfId="1043" dataCellStyle="Moeda"/>
    <tableColumn id="11" name="OUT" totalsRowFunction="sum" dataDxfId="1042" totalsRowDxfId="1041" dataCellStyle="Moeda"/>
    <tableColumn id="12" name="NOV" totalsRowFunction="sum" dataDxfId="1040" totalsRowDxfId="1039" dataCellStyle="Moeda"/>
    <tableColumn id="13" name="DEZ" totalsRowFunction="sum" dataDxfId="1038" totalsRowDxfId="1037" dataCellStyle="Moeda"/>
    <tableColumn id="14" name="2019" totalsRowFunction="sum" dataDxfId="1036" totalsRowDxfId="1035" dataCellStyle="Moeda">
      <calculatedColumnFormula>SUM(Tabela26812[[#This Row],[JAN]:[DEZ]])</calculatedColumnFormula>
    </tableColumn>
    <tableColumn id="15" name="2019 [%]" dataDxfId="1034" totalsRowDxfId="1033">
      <calculatedColumnFormula>Tabela26812[[#This Row],[2019]]/Tabela26812[[#Totals],[2019]]</calculatedColumnFormula>
    </tableColumn>
  </tableColumns>
  <tableStyleInfo name="TableStyleMedium14" showFirstColumn="0" showLastColumn="0" showRowStripes="1" showColumnStripes="0"/>
</table>
</file>

<file path=xl/tables/table73.xml><?xml version="1.0" encoding="utf-8"?>
<table xmlns="http://schemas.openxmlformats.org/spreadsheetml/2006/main" id="143" name="Tabela268913" displayName="Tabela268913" ref="A61:O68" totalsRowCount="1" headerRowDxfId="1032" dataDxfId="1031">
  <autoFilter ref="A61:O67"/>
  <tableColumns count="15">
    <tableColumn id="1" name="GRUPO" dataDxfId="1030" totalsRowDxfId="1029"/>
    <tableColumn id="2" name="JAN" totalsRowFunction="sum" dataDxfId="1028" totalsRowDxfId="1027" dataCellStyle="Moeda"/>
    <tableColumn id="3" name="FEV" totalsRowFunction="sum" dataDxfId="1026" totalsRowDxfId="1025" dataCellStyle="Moeda"/>
    <tableColumn id="4" name="MAR" totalsRowFunction="sum" dataDxfId="1024" totalsRowDxfId="1023" dataCellStyle="Moeda"/>
    <tableColumn id="5" name="ABR" totalsRowFunction="sum" dataDxfId="1022" totalsRowDxfId="1021" dataCellStyle="Moeda"/>
    <tableColumn id="6" name="MAI" totalsRowFunction="sum" dataDxfId="1020" totalsRowDxfId="1019" dataCellStyle="Moeda"/>
    <tableColumn id="7" name="JUN" totalsRowFunction="sum" dataDxfId="1018" totalsRowDxfId="1017" dataCellStyle="Moeda"/>
    <tableColumn id="8" name="JUL" totalsRowFunction="sum" dataDxfId="1016" totalsRowDxfId="1015" dataCellStyle="Moeda"/>
    <tableColumn id="9" name="AGO" totalsRowFunction="sum" dataDxfId="1014" totalsRowDxfId="1013" dataCellStyle="Moeda"/>
    <tableColumn id="10" name="SET" totalsRowFunction="sum" dataDxfId="1012" totalsRowDxfId="1011" dataCellStyle="Moeda"/>
    <tableColumn id="11" name="OUT" totalsRowFunction="sum" dataDxfId="1010" totalsRowDxfId="1009" dataCellStyle="Moeda"/>
    <tableColumn id="12" name="NOV" totalsRowFunction="sum" dataDxfId="1008" totalsRowDxfId="1007" dataCellStyle="Moeda"/>
    <tableColumn id="13" name="DEZ" totalsRowFunction="sum" dataDxfId="1006" totalsRowDxfId="1005" dataCellStyle="Moeda"/>
    <tableColumn id="14" name="2019" totalsRowFunction="sum" dataDxfId="1004" totalsRowDxfId="1003" dataCellStyle="Moeda">
      <calculatedColumnFormula>SUM(Tabela268913[[#This Row],[JAN]:[DEZ]])</calculatedColumnFormula>
    </tableColumn>
    <tableColumn id="15" name="2019 [%]" dataDxfId="1002" totalsRowDxfId="1001">
      <calculatedColumnFormula>Tabela268913[[#This Row],[2019]]/Tabela268913[[#Totals],[2019]]</calculatedColumnFormula>
    </tableColumn>
  </tableColumns>
  <tableStyleInfo name="TableStyleMedium14" showFirstColumn="0" showLastColumn="0" showRowStripes="1" showColumnStripes="0"/>
</table>
</file>

<file path=xl/tables/table74.xml><?xml version="1.0" encoding="utf-8"?>
<table xmlns="http://schemas.openxmlformats.org/spreadsheetml/2006/main" id="144" name="Tabela26891014" displayName="Tabela26891014" ref="A70:O75" totalsRowCount="1" headerRowDxfId="1000" dataDxfId="999">
  <autoFilter ref="A70:O74"/>
  <tableColumns count="15">
    <tableColumn id="1" name="GRUPO" dataDxfId="998" totalsRowDxfId="997"/>
    <tableColumn id="2" name="JAN" totalsRowFunction="sum" dataDxfId="996" totalsRowDxfId="995" dataCellStyle="Moeda"/>
    <tableColumn id="3" name="FEV" totalsRowFunction="sum" dataDxfId="994" totalsRowDxfId="993" dataCellStyle="Moeda"/>
    <tableColumn id="4" name="MAR" totalsRowFunction="sum" dataDxfId="992" totalsRowDxfId="991" dataCellStyle="Moeda"/>
    <tableColumn id="5" name="ABR" totalsRowFunction="sum" dataDxfId="990" totalsRowDxfId="989" dataCellStyle="Moeda"/>
    <tableColumn id="6" name="MAI" totalsRowFunction="sum" dataDxfId="988" totalsRowDxfId="987" dataCellStyle="Moeda"/>
    <tableColumn id="7" name="JUN" totalsRowFunction="sum" dataDxfId="986" totalsRowDxfId="985" dataCellStyle="Moeda"/>
    <tableColumn id="8" name="JUL" totalsRowFunction="sum" dataDxfId="984" totalsRowDxfId="983" dataCellStyle="Moeda"/>
    <tableColumn id="9" name="AGO" totalsRowFunction="sum" dataDxfId="982" totalsRowDxfId="981" dataCellStyle="Moeda"/>
    <tableColumn id="10" name="SET" totalsRowFunction="sum" dataDxfId="980" totalsRowDxfId="979" dataCellStyle="Moeda"/>
    <tableColumn id="11" name="OUT" totalsRowFunction="sum" dataDxfId="978" totalsRowDxfId="977" dataCellStyle="Moeda"/>
    <tableColumn id="12" name="NOV" totalsRowFunction="sum" dataDxfId="976" totalsRowDxfId="975" dataCellStyle="Moeda"/>
    <tableColumn id="13" name="DEZ" totalsRowFunction="sum" dataDxfId="974" totalsRowDxfId="973" dataCellStyle="Moeda"/>
    <tableColumn id="14" name="2019" totalsRowFunction="sum" dataDxfId="972" totalsRowDxfId="971" dataCellStyle="Moeda">
      <calculatedColumnFormula>SUM(Tabela26891014[[#This Row],[JAN]:[DEZ]])</calculatedColumnFormula>
    </tableColumn>
    <tableColumn id="15" name="2019 [%]" dataDxfId="970" totalsRowDxfId="969">
      <calculatedColumnFormula>Tabela26891014[[#This Row],[2019]]/Tabela26891014[[#Totals],[2019]]</calculatedColumnFormula>
    </tableColumn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145" name="Tabela26891115" displayName="Tabela26891115" ref="A77:O81" totalsRowCount="1" headerRowDxfId="968" dataDxfId="967">
  <autoFilter ref="A77:O80"/>
  <tableColumns count="15">
    <tableColumn id="1" name="GRUPO" dataDxfId="966" totalsRowDxfId="965"/>
    <tableColumn id="2" name="JAN" totalsRowFunction="sum" dataDxfId="964" totalsRowDxfId="963" dataCellStyle="Moeda"/>
    <tableColumn id="3" name="FEV" totalsRowFunction="sum" dataDxfId="962" totalsRowDxfId="961" dataCellStyle="Moeda"/>
    <tableColumn id="4" name="MAR" totalsRowFunction="sum" dataDxfId="960" totalsRowDxfId="959" dataCellStyle="Moeda"/>
    <tableColumn id="5" name="ABR" totalsRowFunction="sum" dataDxfId="958" totalsRowDxfId="957" dataCellStyle="Moeda"/>
    <tableColumn id="6" name="MAI" totalsRowFunction="sum" dataDxfId="956" totalsRowDxfId="955" dataCellStyle="Moeda"/>
    <tableColumn id="7" name="JUN" totalsRowFunction="sum" dataDxfId="954" totalsRowDxfId="953" dataCellStyle="Moeda"/>
    <tableColumn id="8" name="JUL" totalsRowFunction="sum" dataDxfId="952" totalsRowDxfId="951" dataCellStyle="Moeda"/>
    <tableColumn id="9" name="AGO" totalsRowFunction="sum" dataDxfId="950" totalsRowDxfId="949" dataCellStyle="Moeda"/>
    <tableColumn id="10" name="SET" totalsRowFunction="sum" dataDxfId="948" totalsRowDxfId="947" dataCellStyle="Moeda"/>
    <tableColumn id="11" name="OUT" totalsRowFunction="sum" dataDxfId="946" totalsRowDxfId="945" dataCellStyle="Moeda"/>
    <tableColumn id="12" name="NOV" totalsRowFunction="sum" dataDxfId="944" totalsRowDxfId="943" dataCellStyle="Moeda"/>
    <tableColumn id="13" name="DEZ" totalsRowFunction="sum" dataDxfId="942" totalsRowDxfId="941" dataCellStyle="Moeda"/>
    <tableColumn id="14" name="2019" totalsRowFunction="sum" dataDxfId="940" totalsRowDxfId="939" dataCellStyle="Moeda">
      <calculatedColumnFormula>SUM(Tabela26891115[[#This Row],[JAN]:[DEZ]])</calculatedColumnFormula>
    </tableColumn>
    <tableColumn id="15" name="2019 [%]" dataDxfId="938" totalsRowDxfId="937">
      <calculatedColumnFormula>Tabela26891115[[#This Row],[2019]]/Tabela26891115[[#Totals],[2019]]</calculatedColumnFormula>
    </tableColumn>
  </tableColumns>
  <tableStyleInfo name="TableStyleMedium14" showFirstColumn="0" showLastColumn="0" showRowStripes="1" showColumnStripes="0"/>
</table>
</file>

<file path=xl/tables/table76.xml><?xml version="1.0" encoding="utf-8"?>
<table xmlns="http://schemas.openxmlformats.org/spreadsheetml/2006/main" id="7" name="GERAL_MUN" displayName="GERAL_MUN" ref="A2:P11" totalsRowCount="1" headerRowDxfId="936" dataDxfId="935">
  <autoFilter ref="A2:P10"/>
  <sortState ref="A4:Q60">
    <sortCondition descending="1" ref="M3:M60"/>
  </sortState>
  <tableColumns count="16">
    <tableColumn id="2" name="Município" dataDxfId="934" totalsRowDxfId="933"/>
    <tableColumn id="17" name="UF" dataDxfId="932" totalsRowDxfId="931"/>
    <tableColumn id="3" name="JAN" totalsRowFunction="sum" dataDxfId="930" totalsRowDxfId="929"/>
    <tableColumn id="4" name="FEV" totalsRowFunction="sum" dataDxfId="928" totalsRowDxfId="927"/>
    <tableColumn id="5" name="MAR" totalsRowFunction="sum" dataDxfId="926" totalsRowDxfId="925"/>
    <tableColumn id="6" name="ABR" totalsRowFunction="sum" dataDxfId="924" totalsRowDxfId="923"/>
    <tableColumn id="7" name="MAI" totalsRowFunction="sum" dataDxfId="922" totalsRowDxfId="921"/>
    <tableColumn id="8" name="JUN" totalsRowFunction="sum" dataDxfId="920" totalsRowDxfId="919"/>
    <tableColumn id="9" name="JUL" totalsRowFunction="sum" dataDxfId="918" totalsRowDxfId="917"/>
    <tableColumn id="10" name="AGO" totalsRowFunction="sum" dataDxfId="916" totalsRowDxfId="915"/>
    <tableColumn id="11" name="SET" totalsRowFunction="sum" dataDxfId="914" totalsRowDxfId="913"/>
    <tableColumn id="12" name="OUT" totalsRowFunction="sum" dataDxfId="912" totalsRowDxfId="911"/>
    <tableColumn id="13" name="NOV" totalsRowFunction="sum" dataDxfId="910" totalsRowDxfId="909"/>
    <tableColumn id="14" name="DEZ" totalsRowFunction="sum" dataDxfId="908" totalsRowDxfId="907"/>
    <tableColumn id="15" name="2019" totalsRowFunction="sum" dataDxfId="906" totalsRowDxfId="905">
      <calculatedColumnFormula>SUM(GERAL_MUN[[#This Row],[JAN]:[DEZ]])</calculatedColumnFormula>
    </tableColumn>
    <tableColumn id="16" name="2019 [%]" dataDxfId="904" totalsRowDxfId="903" dataCellStyle="Porcentagem">
      <calculatedColumnFormula>GERAL_MUN[[#This Row],[2019]]/GERAL_MUN[[#Totals],[2019]]</calculatedColumnFormula>
    </tableColumn>
  </tableColumns>
  <tableStyleInfo name="TableStyleMedium14" showFirstColumn="0" showLastColumn="0" showRowStripes="1" showColumnStripes="0"/>
</table>
</file>

<file path=xl/tables/table77.xml><?xml version="1.0" encoding="utf-8"?>
<table xmlns="http://schemas.openxmlformats.org/spreadsheetml/2006/main" id="8" name="GERAL_MUN6" displayName="GERAL_MUN6" ref="A14:P23" totalsRowCount="1" headerRowDxfId="902" dataDxfId="901">
  <autoFilter ref="A14:P22"/>
  <tableColumns count="16">
    <tableColumn id="2" name="Município" dataDxfId="900" totalsRowDxfId="899"/>
    <tableColumn id="17" name="UF" dataDxfId="898" totalsRowDxfId="897"/>
    <tableColumn id="3" name="JAN" totalsRowFunction="sum" dataDxfId="896" totalsRowDxfId="895"/>
    <tableColumn id="4" name="FEV" totalsRowFunction="sum" dataDxfId="894" totalsRowDxfId="893"/>
    <tableColumn id="5" name="MAR" totalsRowFunction="sum" dataDxfId="892" totalsRowDxfId="891"/>
    <tableColumn id="6" name="ABR" totalsRowFunction="sum" dataDxfId="890" totalsRowDxfId="889"/>
    <tableColumn id="7" name="MAI" totalsRowFunction="sum" dataDxfId="888" totalsRowDxfId="887"/>
    <tableColumn id="8" name="JUN" totalsRowFunction="sum" dataDxfId="886" totalsRowDxfId="885"/>
    <tableColumn id="9" name="JUL" totalsRowFunction="sum" dataDxfId="884" totalsRowDxfId="883"/>
    <tableColumn id="10" name="AGO" totalsRowFunction="sum" dataDxfId="882" totalsRowDxfId="881"/>
    <tableColumn id="11" name="SET" totalsRowFunction="sum" dataDxfId="880" totalsRowDxfId="879"/>
    <tableColumn id="12" name="OUT" totalsRowFunction="sum" dataDxfId="878" totalsRowDxfId="877"/>
    <tableColumn id="13" name="NOV" totalsRowFunction="sum" dataDxfId="876" totalsRowDxfId="875"/>
    <tableColumn id="14" name="DEZ" totalsRowFunction="sum" dataDxfId="874" totalsRowDxfId="873"/>
    <tableColumn id="15" name="2019" totalsRowFunction="sum" dataDxfId="872" totalsRowDxfId="871">
      <calculatedColumnFormula>SUM(GERAL_MUN6[[#This Row],[JAN]:[DEZ]])</calculatedColumnFormula>
    </tableColumn>
    <tableColumn id="16" name="2019 [%]" dataDxfId="870" totalsRowDxfId="869" dataCellStyle="Porcentagem">
      <calculatedColumnFormula>GERAL_MUN6[[#This Row],[2019]]/GERAL_MUN6[[#Totals],[2019]]</calculatedColumnFormula>
    </tableColumn>
  </tableColumns>
  <tableStyleInfo name="TableStyleMedium14" showFirstColumn="0" showLastColumn="0" showRowStripes="1" showColumnStripes="0"/>
</table>
</file>

<file path=xl/tables/table78.xml><?xml version="1.0" encoding="utf-8"?>
<table xmlns="http://schemas.openxmlformats.org/spreadsheetml/2006/main" id="9" name="GERAL_MUN68" displayName="GERAL_MUN68" ref="A26:P35" totalsRowCount="1" headerRowDxfId="868" dataDxfId="867">
  <autoFilter ref="A26:P34"/>
  <sortState ref="A30:Q5658">
    <sortCondition descending="1" ref="M11333:M16962"/>
  </sortState>
  <tableColumns count="16">
    <tableColumn id="2" name="Município" dataDxfId="866" totalsRowDxfId="865"/>
    <tableColumn id="17" name="UF" dataDxfId="864" totalsRowDxfId="863"/>
    <tableColumn id="3" name="JAN" totalsRowFunction="sum" dataDxfId="862" totalsRowDxfId="861"/>
    <tableColumn id="4" name="FEV" totalsRowFunction="sum" dataDxfId="860" totalsRowDxfId="859"/>
    <tableColumn id="5" name="MAR" totalsRowFunction="sum" dataDxfId="858" totalsRowDxfId="857"/>
    <tableColumn id="6" name="ABR" totalsRowFunction="sum" dataDxfId="856" totalsRowDxfId="855"/>
    <tableColumn id="7" name="MAI" totalsRowFunction="sum" dataDxfId="854" totalsRowDxfId="853"/>
    <tableColumn id="8" name="JUN" totalsRowFunction="sum" dataDxfId="852" totalsRowDxfId="851"/>
    <tableColumn id="9" name="JUL" totalsRowFunction="sum" dataDxfId="850" totalsRowDxfId="849"/>
    <tableColumn id="10" name="AGO" totalsRowFunction="sum" dataDxfId="848" totalsRowDxfId="847"/>
    <tableColumn id="11" name="SET" totalsRowFunction="sum" dataDxfId="846" totalsRowDxfId="845"/>
    <tableColumn id="12" name="OUT" totalsRowFunction="sum" dataDxfId="844" totalsRowDxfId="843"/>
    <tableColumn id="13" name="NOV" totalsRowFunction="sum" dataDxfId="842" totalsRowDxfId="841"/>
    <tableColumn id="14" name="DEZ" totalsRowFunction="sum" dataDxfId="840" totalsRowDxfId="839"/>
    <tableColumn id="15" name="2019" totalsRowFunction="sum" dataDxfId="838" totalsRowDxfId="837">
      <calculatedColumnFormula>SUM(GERAL_MUN68[[#This Row],[JAN]:[DEZ]])</calculatedColumnFormula>
    </tableColumn>
    <tableColumn id="16" name="2019 [%]" dataDxfId="836" totalsRowDxfId="835" dataCellStyle="Porcentagem">
      <calculatedColumnFormula>GERAL_MUN68[[#This Row],[2019]]/GERAL_MUN68[[#Totals],[2019]]</calculatedColumnFormula>
    </tableColumn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10" name="CONS_MUN" displayName="CONS_MUN" ref="A50:P59" totalsRowCount="1" headerRowDxfId="834" dataDxfId="833">
  <autoFilter ref="A50:P58"/>
  <sortState ref="A39:Q5667">
    <sortCondition descending="1" ref="O3:O5632"/>
  </sortState>
  <tableColumns count="16">
    <tableColumn id="2" name="Município" dataDxfId="832" totalsRowDxfId="831"/>
    <tableColumn id="17" name="UF" dataDxfId="830" totalsRowDxfId="829"/>
    <tableColumn id="3" name="JAN" totalsRowFunction="sum" dataDxfId="828" totalsRowDxfId="827"/>
    <tableColumn id="4" name="FEV" totalsRowFunction="sum" dataDxfId="826" totalsRowDxfId="825"/>
    <tableColumn id="5" name="MAR" totalsRowFunction="sum" dataDxfId="824" totalsRowDxfId="823"/>
    <tableColumn id="6" name="ABR" totalsRowFunction="sum" dataDxfId="822" totalsRowDxfId="821"/>
    <tableColumn id="7" name="MAI" totalsRowFunction="sum" dataDxfId="820" totalsRowDxfId="819"/>
    <tableColumn id="8" name="JUN" totalsRowFunction="sum" dataDxfId="818" totalsRowDxfId="817"/>
    <tableColumn id="9" name="JUL" totalsRowFunction="sum" dataDxfId="816" totalsRowDxfId="815"/>
    <tableColumn id="10" name="AGO" totalsRowFunction="sum" dataDxfId="814" totalsRowDxfId="813"/>
    <tableColumn id="11" name="SET" totalsRowFunction="sum" dataDxfId="812" totalsRowDxfId="811"/>
    <tableColumn id="12" name="OUT" totalsRowFunction="sum" dataDxfId="810" totalsRowDxfId="809"/>
    <tableColumn id="13" name="NOV" totalsRowFunction="sum" dataDxfId="808" totalsRowDxfId="807"/>
    <tableColumn id="14" name="DEZ" totalsRowFunction="sum" dataDxfId="806" totalsRowDxfId="805"/>
    <tableColumn id="15" name="2019" totalsRowFunction="sum" dataDxfId="804" totalsRowDxfId="803">
      <calculatedColumnFormula>SUM(CONS_MUN[[#This Row],[JAN]:[DEZ]])</calculatedColumnFormula>
    </tableColumn>
    <tableColumn id="16" name="2019 [%]" dataDxfId="802" totalsRowDxfId="801" dataCellStyle="Porcentagem">
      <calculatedColumnFormula>CONS_MUN[[#This Row],[2019]]/CONS_MUN[[#Totals],[2019]]</calculatedColumnFormula>
    </tableColumn>
  </tableColumns>
  <tableStyleInfo name="TableStyleMedium12" showFirstColumn="0" showLastColumn="0" showRowStripes="1" showColumnStripes="0"/>
</table>
</file>

<file path=xl/tables/table8.xml><?xml version="1.0" encoding="utf-8"?>
<table xmlns="http://schemas.openxmlformats.org/spreadsheetml/2006/main" id="46" name="nSE" displayName="nSE" ref="A39:N49" totalsRowShown="0" headerRowDxfId="2931" dataDxfId="2930">
  <autoFilter ref="A39:N49"/>
  <tableColumns count="14">
    <tableColumn id="1" name="UNIDADE" dataDxfId="2929"/>
    <tableColumn id="2" name="JAN" dataDxfId="2928"/>
    <tableColumn id="3" name="FEV" dataDxfId="2927"/>
    <tableColumn id="4" name="MAR" dataDxfId="2926"/>
    <tableColumn id="5" name="ABR" dataDxfId="2925"/>
    <tableColumn id="6" name="MAI" dataDxfId="2924"/>
    <tableColumn id="7" name="JUN" dataDxfId="2923"/>
    <tableColumn id="8" name="JUL" dataDxfId="2922"/>
    <tableColumn id="9" name="AGO" dataDxfId="2921"/>
    <tableColumn id="10" name="SET" dataDxfId="2920"/>
    <tableColumn id="11" name="OUT" dataDxfId="2919"/>
    <tableColumn id="12" name="NOV" dataDxfId="2918"/>
    <tableColumn id="13" name="DEZ" dataDxfId="2917"/>
    <tableColumn id="14" name="2019" dataDxfId="2916">
      <calculatedColumnFormula>SUM(nSE[[#This Row],[JAN]:[DEZ]])</calculatedColumnFormula>
    </tableColumn>
  </tableColumns>
  <tableStyleInfo name="TableStyleMedium14" showFirstColumn="0" showLastColumn="0" showRowStripes="1" showColumnStripes="0"/>
</table>
</file>

<file path=xl/tables/table80.xml><?xml version="1.0" encoding="utf-8"?>
<table xmlns="http://schemas.openxmlformats.org/spreadsheetml/2006/main" id="11" name="AT_MUN" displayName="AT_MUN" ref="A86:P95" totalsRowCount="1" headerRowDxfId="800" dataDxfId="799">
  <autoFilter ref="A86:P94"/>
  <sortState ref="A51:Q5679">
    <sortCondition descending="1" ref="O3:O5632"/>
  </sortState>
  <tableColumns count="16">
    <tableColumn id="2" name="Município" dataDxfId="798" totalsRowDxfId="797"/>
    <tableColumn id="17" name="UF" dataDxfId="796" totalsRowDxfId="795"/>
    <tableColumn id="3" name="JAN" totalsRowFunction="sum" dataDxfId="794" totalsRowDxfId="793"/>
    <tableColumn id="4" name="FEV" totalsRowFunction="sum" dataDxfId="792" totalsRowDxfId="791"/>
    <tableColumn id="5" name="MAR" totalsRowFunction="sum" dataDxfId="790" totalsRowDxfId="789"/>
    <tableColumn id="6" name="ABR" totalsRowFunction="sum" dataDxfId="788" totalsRowDxfId="787"/>
    <tableColumn id="7" name="MAI" totalsRowFunction="sum" dataDxfId="786" totalsRowDxfId="785"/>
    <tableColumn id="8" name="JUN" totalsRowFunction="sum" dataDxfId="784" totalsRowDxfId="783"/>
    <tableColumn id="9" name="JUL" totalsRowFunction="sum" dataDxfId="782" totalsRowDxfId="781"/>
    <tableColumn id="10" name="AGO" totalsRowFunction="sum" dataDxfId="780" totalsRowDxfId="779"/>
    <tableColumn id="11" name="SET" totalsRowFunction="sum" dataDxfId="778" totalsRowDxfId="777"/>
    <tableColumn id="12" name="OUT" totalsRowFunction="sum" dataDxfId="776" totalsRowDxfId="775"/>
    <tableColumn id="13" name="NOV" totalsRowFunction="sum" dataDxfId="774" totalsRowDxfId="773"/>
    <tableColumn id="14" name="DEZ" totalsRowFunction="sum" dataDxfId="772" totalsRowDxfId="771"/>
    <tableColumn id="15" name="2019" totalsRowFunction="sum" dataDxfId="770" totalsRowDxfId="769">
      <calculatedColumnFormula>SUM(AT_MUN[[#This Row],[JAN]:[DEZ]])</calculatedColumnFormula>
    </tableColumn>
    <tableColumn id="16" name="2019 [%]" dataDxfId="768" totalsRowDxfId="767" dataCellStyle="Porcentagem">
      <calculatedColumnFormula>AT_MUN[[#This Row],[2019]]/AT_MUN[[#Totals],[2019]]</calculatedColumnFormula>
    </tableColumn>
  </tableColumns>
  <tableStyleInfo name="TableStyleMedium10" showFirstColumn="0" showLastColumn="0" showRowStripes="1" showColumnStripes="0"/>
</table>
</file>

<file path=xl/tables/table81.xml><?xml version="1.0" encoding="utf-8"?>
<table xmlns="http://schemas.openxmlformats.org/spreadsheetml/2006/main" id="27" name="CONS_MUN28" displayName="CONS_MUN28" ref="A62:P71" totalsRowCount="1" headerRowDxfId="766" dataDxfId="765">
  <autoFilter ref="A62:P70"/>
  <sortState ref="A51:Q5679">
    <sortCondition descending="1" ref="O3:O5632"/>
  </sortState>
  <tableColumns count="16">
    <tableColumn id="2" name="Município" dataDxfId="764" totalsRowDxfId="763"/>
    <tableColumn id="17" name="UF" dataDxfId="762" totalsRowDxfId="761"/>
    <tableColumn id="3" name="JAN" totalsRowFunction="sum" dataDxfId="760" totalsRowDxfId="759"/>
    <tableColumn id="4" name="FEV" totalsRowFunction="sum" dataDxfId="758" totalsRowDxfId="757"/>
    <tableColumn id="5" name="MAR" totalsRowFunction="sum" dataDxfId="756" totalsRowDxfId="755"/>
    <tableColumn id="6" name="ABR" totalsRowFunction="sum" dataDxfId="754" totalsRowDxfId="753"/>
    <tableColumn id="7" name="MAI" totalsRowFunction="sum" dataDxfId="752" totalsRowDxfId="751"/>
    <tableColumn id="8" name="JUN" totalsRowFunction="sum" dataDxfId="750" totalsRowDxfId="749"/>
    <tableColumn id="9" name="JUL" totalsRowFunction="sum" dataDxfId="748" totalsRowDxfId="747"/>
    <tableColumn id="10" name="AGO" totalsRowFunction="sum" dataDxfId="746" totalsRowDxfId="745"/>
    <tableColumn id="11" name="SET" totalsRowFunction="sum" dataDxfId="744" totalsRowDxfId="743"/>
    <tableColumn id="12" name="OUT" totalsRowFunction="sum" dataDxfId="742" totalsRowDxfId="741"/>
    <tableColumn id="13" name="NOV" totalsRowFunction="sum" dataDxfId="740" totalsRowDxfId="739"/>
    <tableColumn id="14" name="DEZ" totalsRowFunction="sum" dataDxfId="738" totalsRowDxfId="737"/>
    <tableColumn id="15" name="2019" totalsRowFunction="sum" dataDxfId="736" totalsRowDxfId="735">
      <calculatedColumnFormula>SUM(CONS_MUN28[[#This Row],[JAN]:[DEZ]])</calculatedColumnFormula>
    </tableColumn>
    <tableColumn id="16" name="2019 [%]" dataDxfId="734" totalsRowDxfId="733" dataCellStyle="Porcentagem">
      <calculatedColumnFormula>CONS_MUN28[[#This Row],[2019]]/CONS_MUN28[[#Totals],[2019]]</calculatedColumnFormula>
    </tableColumn>
  </tableColumns>
  <tableStyleInfo name="TableStyleMedium12" showFirstColumn="0" showLastColumn="0" showRowStripes="1" showColumnStripes="0"/>
</table>
</file>

<file path=xl/tables/table82.xml><?xml version="1.0" encoding="utf-8"?>
<table xmlns="http://schemas.openxmlformats.org/spreadsheetml/2006/main" id="63" name="GERAL_MUN687" displayName="GERAL_MUN687" ref="A38:P47" totalsRowCount="1" headerRowDxfId="732" dataDxfId="731">
  <autoFilter ref="A38:P46"/>
  <sortState ref="A39:Q5667">
    <sortCondition descending="1" ref="M11333:M16962"/>
  </sortState>
  <tableColumns count="16">
    <tableColumn id="2" name="Município" dataDxfId="730" totalsRowDxfId="729"/>
    <tableColumn id="17" name="UF" dataDxfId="728" totalsRowDxfId="727"/>
    <tableColumn id="3" name="JAN" totalsRowFunction="sum" dataDxfId="726" totalsRowDxfId="725"/>
    <tableColumn id="4" name="FEV" totalsRowFunction="sum" dataDxfId="724" totalsRowDxfId="723"/>
    <tableColumn id="5" name="MAR" totalsRowFunction="sum" dataDxfId="722" totalsRowDxfId="721"/>
    <tableColumn id="6" name="ABR" totalsRowFunction="sum" dataDxfId="720" totalsRowDxfId="719"/>
    <tableColumn id="7" name="MAI" totalsRowFunction="sum" dataDxfId="718" totalsRowDxfId="717"/>
    <tableColumn id="8" name="JUN" totalsRowFunction="sum" dataDxfId="716" totalsRowDxfId="715"/>
    <tableColumn id="9" name="JUL" totalsRowFunction="sum" dataDxfId="714" totalsRowDxfId="713"/>
    <tableColumn id="10" name="AGO" totalsRowFunction="sum" dataDxfId="712" totalsRowDxfId="711"/>
    <tableColumn id="11" name="SET" totalsRowFunction="sum" dataDxfId="710" totalsRowDxfId="709"/>
    <tableColumn id="12" name="OUT" totalsRowFunction="sum" dataDxfId="708" totalsRowDxfId="707"/>
    <tableColumn id="13" name="NOV" totalsRowFunction="sum" dataDxfId="706" totalsRowDxfId="705"/>
    <tableColumn id="14" name="DEZ" totalsRowFunction="sum" dataDxfId="704" totalsRowDxfId="703"/>
    <tableColumn id="15" name="2019" totalsRowFunction="sum" dataDxfId="702" totalsRowDxfId="701">
      <calculatedColumnFormula>SUM(GERAL_MUN687[[#This Row],[JAN]:[DEZ]])</calculatedColumnFormula>
    </tableColumn>
    <tableColumn id="16" name="2019 [%]" dataDxfId="700" totalsRowDxfId="699" dataCellStyle="Porcentagem">
      <calculatedColumnFormula>GERAL_MUN687[[#This Row],[2019]]/GERAL_MUN687[[#Totals],[2019]]</calculatedColumnFormula>
    </tableColumn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64" name="CONS_MUN2865" displayName="CONS_MUN2865" ref="A74:P83" totalsRowCount="1" headerRowDxfId="698" dataDxfId="697">
  <autoFilter ref="A74:P82"/>
  <sortState ref="A75:Q5703">
    <sortCondition descending="1" ref="O3:O5632"/>
  </sortState>
  <tableColumns count="16">
    <tableColumn id="2" name="Município" dataDxfId="696" totalsRowDxfId="695"/>
    <tableColumn id="17" name="UF" dataDxfId="694" totalsRowDxfId="693"/>
    <tableColumn id="3" name="JAN" totalsRowFunction="sum" dataDxfId="692" totalsRowDxfId="691"/>
    <tableColumn id="4" name="FEV" totalsRowFunction="sum" dataDxfId="690" totalsRowDxfId="689"/>
    <tableColumn id="5" name="MAR" totalsRowFunction="sum" dataDxfId="688" totalsRowDxfId="687"/>
    <tableColumn id="6" name="ABR" totalsRowFunction="sum" dataDxfId="686" totalsRowDxfId="685"/>
    <tableColumn id="7" name="MAI" totalsRowFunction="sum" dataDxfId="684" totalsRowDxfId="683"/>
    <tableColumn id="8" name="JUN" totalsRowFunction="sum" dataDxfId="682" totalsRowDxfId="681"/>
    <tableColumn id="9" name="JUL" totalsRowFunction="sum" dataDxfId="680" totalsRowDxfId="679"/>
    <tableColumn id="10" name="AGO" totalsRowFunction="sum" dataDxfId="678" totalsRowDxfId="677"/>
    <tableColumn id="11" name="SET" totalsRowFunction="sum" dataDxfId="676" totalsRowDxfId="675"/>
    <tableColumn id="12" name="OUT" totalsRowFunction="sum" dataDxfId="674" totalsRowDxfId="673"/>
    <tableColumn id="13" name="NOV" totalsRowFunction="sum" dataDxfId="672" totalsRowDxfId="671"/>
    <tableColumn id="14" name="DEZ" totalsRowFunction="sum" dataDxfId="670" totalsRowDxfId="669"/>
    <tableColumn id="15" name="2019" totalsRowFunction="sum" dataDxfId="668" totalsRowDxfId="667">
      <calculatedColumnFormula>SUM(CONS_MUN2865[[#This Row],[JAN]:[DEZ]])</calculatedColumnFormula>
    </tableColumn>
    <tableColumn id="16" name="2019 [%]" dataDxfId="666" totalsRowDxfId="665" dataCellStyle="Porcentagem">
      <calculatedColumnFormula>CONS_MUN2865[[#This Row],[2019]]/CONS_MUN2865[[#Totals],[2019]]</calculatedColumnFormula>
    </tableColumn>
  </tableColumns>
  <tableStyleInfo name="TableStyleMedium12" showFirstColumn="0" showLastColumn="0" showRowStripes="1" showColumnStripes="0"/>
</table>
</file>

<file path=xl/tables/table84.xml><?xml version="1.0" encoding="utf-8"?>
<table xmlns="http://schemas.openxmlformats.org/spreadsheetml/2006/main" id="15" name="ATT" displayName="ATT" ref="A2:N3" totalsRowShown="0" headerRowDxfId="664" dataDxfId="663">
  <autoFilter ref="A2:N3"/>
  <tableColumns count="14">
    <tableColumn id="1" name="ATT" dataDxfId="662"/>
    <tableColumn id="2" name="Jan" dataDxfId="661"/>
    <tableColumn id="3" name="Fev" dataDxfId="660"/>
    <tableColumn id="4" name="Mar" dataDxfId="659"/>
    <tableColumn id="5" name="Abr" dataDxfId="658"/>
    <tableColumn id="6" name="Mai" dataDxfId="657"/>
    <tableColumn id="7" name="Jun" dataDxfId="656"/>
    <tableColumn id="8" name="Jul" dataDxfId="655"/>
    <tableColumn id="9" name="Ago" dataDxfId="654"/>
    <tableColumn id="10" name="Set" dataDxfId="653"/>
    <tableColumn id="11" name="Out" dataDxfId="652"/>
    <tableColumn id="12" name="Nov" dataDxfId="651"/>
    <tableColumn id="13" name="Dez" dataDxfId="650"/>
    <tableColumn id="14" name="2019" dataDxfId="649">
      <calculatedColumnFormula>SUM(ATT[[Jan]:[Dez]])</calculatedColumnFormula>
    </tableColumn>
  </tableColumns>
  <tableStyleInfo name="TableStyleMedium14" showFirstColumn="0" showLastColumn="0" showRowStripes="1" showColumnStripes="0"/>
</table>
</file>

<file path=xl/tables/table85.xml><?xml version="1.0" encoding="utf-8"?>
<table xmlns="http://schemas.openxmlformats.org/spreadsheetml/2006/main" id="21" name="SEXO22" displayName="SEXO22" ref="A5:O9" totalsRowCount="1" headerRowDxfId="648" dataDxfId="647" totalsRowDxfId="646">
  <autoFilter ref="A5:O8"/>
  <tableColumns count="15">
    <tableColumn id="1" name="SEXO" dataDxfId="645" totalsRowDxfId="644"/>
    <tableColumn id="2" name="Jan" totalsRowFunction="sum" dataDxfId="643" totalsRowDxfId="642"/>
    <tableColumn id="3" name="Fev" totalsRowFunction="sum" dataDxfId="641" totalsRowDxfId="640"/>
    <tableColumn id="4" name="Mar" totalsRowFunction="sum" dataDxfId="639" totalsRowDxfId="638"/>
    <tableColumn id="5" name="Abr" totalsRowFunction="sum" dataDxfId="637" totalsRowDxfId="636"/>
    <tableColumn id="6" name="Mai" totalsRowFunction="sum" dataDxfId="635" totalsRowDxfId="634"/>
    <tableColumn id="7" name="Jun" totalsRowFunction="sum" dataDxfId="633" totalsRowDxfId="632"/>
    <tableColumn id="8" name="Jul" totalsRowFunction="sum" dataDxfId="631" totalsRowDxfId="630"/>
    <tableColumn id="9" name="Ago" totalsRowFunction="sum" dataDxfId="629" totalsRowDxfId="628"/>
    <tableColumn id="10" name="Set" totalsRowFunction="sum" dataDxfId="627" totalsRowDxfId="626"/>
    <tableColumn id="11" name="Out" totalsRowFunction="sum" dataDxfId="625" totalsRowDxfId="624"/>
    <tableColumn id="12" name="Nov" totalsRowFunction="sum" dataDxfId="623" totalsRowDxfId="622"/>
    <tableColumn id="13" name="Dez" totalsRowFunction="sum" dataDxfId="621" totalsRowDxfId="620"/>
    <tableColumn id="14" name=" 2.019 " totalsRowFunction="sum" dataDxfId="619" totalsRowDxfId="618">
      <calculatedColumnFormula>SUM(SEXO22[[#This Row],[Jan]:[Dez]])</calculatedColumnFormula>
    </tableColumn>
    <tableColumn id="15" name="2019 [%]" dataDxfId="617" totalsRowDxfId="616">
      <calculatedColumnFormula>SEXO22[[#This Row],[ 2.019 ]]/SEXO22[[#Totals],[ 2.019 ]]</calculatedColumnFormula>
    </tableColumn>
  </tableColumns>
  <tableStyleInfo name="TableStyleMedium14" showFirstColumn="0" showLastColumn="0" showRowStripes="1" showColumnStripes="0"/>
</table>
</file>

<file path=xl/tables/table86.xml><?xml version="1.0" encoding="utf-8"?>
<table xmlns="http://schemas.openxmlformats.org/spreadsheetml/2006/main" id="22" name="NA" displayName="NA" ref="A11:O19" totalsRowCount="1" headerRowDxfId="615" dataDxfId="614" totalsRowDxfId="612" tableBorderDxfId="613">
  <autoFilter ref="A11:O18"/>
  <tableColumns count="15">
    <tableColumn id="1" name="NATUREZA DO ACIDENTE" dataDxfId="611" totalsRowDxfId="610"/>
    <tableColumn id="2" name="Jan" totalsRowFunction="sum" dataDxfId="609" totalsRowDxfId="608"/>
    <tableColumn id="3" name="Fev" totalsRowFunction="sum" dataDxfId="607" totalsRowDxfId="606"/>
    <tableColumn id="4" name="Mar" totalsRowFunction="sum" dataDxfId="605" totalsRowDxfId="604"/>
    <tableColumn id="5" name="Abr" totalsRowFunction="sum" dataDxfId="603" totalsRowDxfId="602"/>
    <tableColumn id="6" name="Mai" totalsRowFunction="sum" dataDxfId="601" totalsRowDxfId="600"/>
    <tableColumn id="7" name="Jun" totalsRowFunction="sum" dataDxfId="599" totalsRowDxfId="598"/>
    <tableColumn id="8" name="Jul" totalsRowFunction="sum" dataDxfId="597" totalsRowDxfId="596"/>
    <tableColumn id="9" name="Ago" totalsRowFunction="sum" dataDxfId="595" totalsRowDxfId="594"/>
    <tableColumn id="10" name="Set" totalsRowFunction="sum" dataDxfId="593" totalsRowDxfId="592"/>
    <tableColumn id="11" name="Out" totalsRowFunction="sum" dataDxfId="591" totalsRowDxfId="590"/>
    <tableColumn id="12" name="Nov" totalsRowFunction="sum" dataDxfId="589" totalsRowDxfId="588"/>
    <tableColumn id="13" name="Dez" totalsRowFunction="sum" dataDxfId="587" totalsRowDxfId="586"/>
    <tableColumn id="14" name=" 2.019 " totalsRowFunction="sum" dataDxfId="585" totalsRowDxfId="584">
      <calculatedColumnFormula>SUM(NA[[#This Row],[Jan]:[Dez]])</calculatedColumnFormula>
    </tableColumn>
    <tableColumn id="15" name="2019 [%]" dataDxfId="583" totalsRowDxfId="582">
      <calculatedColumnFormula>NA[[#This Row],[ 2.019 ]]/NA[[#Totals],[ 2.019 ]]</calculatedColumnFormula>
    </tableColumn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23" name="FRA" displayName="FRA" ref="A21:N27" totalsRowCount="1" headerRowDxfId="581" dataDxfId="580" totalsRowDxfId="578" tableBorderDxfId="579">
  <autoFilter ref="A21:N26"/>
  <tableColumns count="14">
    <tableColumn id="1" name="FATORES RELACIONADOS AO ACIDENTE" dataDxfId="577" totalsRowDxfId="576"/>
    <tableColumn id="2" name="Jan" totalsRowFunction="sum" dataDxfId="575" totalsRowDxfId="574"/>
    <tableColumn id="3" name="Fev" totalsRowFunction="sum" dataDxfId="573" totalsRowDxfId="572"/>
    <tableColumn id="4" name="Mar" totalsRowFunction="sum" dataDxfId="571" totalsRowDxfId="570"/>
    <tableColumn id="5" name="Abr" totalsRowFunction="sum" dataDxfId="569" totalsRowDxfId="568"/>
    <tableColumn id="6" name="Mai" totalsRowFunction="sum" dataDxfId="567" totalsRowDxfId="566"/>
    <tableColumn id="7" name="Jun" totalsRowFunction="sum" dataDxfId="565" totalsRowDxfId="564"/>
    <tableColumn id="8" name="Jul" totalsRowFunction="sum" dataDxfId="563" totalsRowDxfId="562"/>
    <tableColumn id="9" name="Ago" totalsRowFunction="sum" dataDxfId="561" totalsRowDxfId="560"/>
    <tableColumn id="10" name="Set" totalsRowFunction="sum" dataDxfId="559" totalsRowDxfId="558"/>
    <tableColumn id="11" name="Out" totalsRowFunction="sum" dataDxfId="557" totalsRowDxfId="556"/>
    <tableColumn id="12" name="Nov" totalsRowFunction="sum" dataDxfId="555" totalsRowDxfId="554"/>
    <tableColumn id="13" name="Dez" totalsRowFunction="sum" dataDxfId="553" totalsRowDxfId="552"/>
    <tableColumn id="14" name=" 2.019 " totalsRowFunction="sum" dataDxfId="551" totalsRowDxfId="550">
      <calculatedColumnFormula>SUM(FRA[[#This Row],[Jan]:[Dez]])</calculatedColumnFormula>
    </tableColumn>
  </tableColumns>
  <tableStyleInfo name="TableStyleMedium14" showFirstColumn="0" showLastColumn="0" showRowStripes="1" showColumnStripes="0"/>
</table>
</file>

<file path=xl/tables/table88.xml><?xml version="1.0" encoding="utf-8"?>
<table xmlns="http://schemas.openxmlformats.org/spreadsheetml/2006/main" id="24" name="FE" displayName="FE" ref="A29:O35" totalsRowCount="1" headerRowDxfId="549" dataDxfId="548" totalsRowDxfId="546" tableBorderDxfId="547">
  <autoFilter ref="A29:O34"/>
  <tableColumns count="15">
    <tableColumn id="1" name="FAIXA ETÁRIA (ANOS)" dataDxfId="545" totalsRowDxfId="544"/>
    <tableColumn id="2" name="Jan" totalsRowFunction="sum" dataDxfId="543" totalsRowDxfId="542"/>
    <tableColumn id="3" name="Fev" totalsRowFunction="sum" dataDxfId="541" totalsRowDxfId="540"/>
    <tableColumn id="4" name="Mar" totalsRowFunction="sum" dataDxfId="539" totalsRowDxfId="538"/>
    <tableColumn id="5" name="Abr" totalsRowFunction="sum" dataDxfId="537" totalsRowDxfId="536"/>
    <tableColumn id="6" name="Mai" totalsRowFunction="sum" dataDxfId="535" totalsRowDxfId="534"/>
    <tableColumn id="7" name="Jun" totalsRowFunction="sum" dataDxfId="533" totalsRowDxfId="532"/>
    <tableColumn id="8" name="Jul" totalsRowFunction="sum" dataDxfId="531" totalsRowDxfId="530"/>
    <tableColumn id="9" name="Ago" totalsRowFunction="sum" dataDxfId="529" totalsRowDxfId="528"/>
    <tableColumn id="10" name="Set" totalsRowFunction="sum" dataDxfId="527" totalsRowDxfId="526"/>
    <tableColumn id="11" name="Out" totalsRowFunction="sum" dataDxfId="525" totalsRowDxfId="524"/>
    <tableColumn id="12" name="Nov" totalsRowFunction="sum" dataDxfId="523" totalsRowDxfId="522"/>
    <tableColumn id="13" name="Dez" totalsRowFunction="sum" dataDxfId="521" totalsRowDxfId="520"/>
    <tableColumn id="14" name=" 2.019 " totalsRowFunction="sum" dataDxfId="519" totalsRowDxfId="518">
      <calculatedColumnFormula>SUM(FE[[#This Row],[Jan]:[Dez]])</calculatedColumnFormula>
    </tableColumn>
    <tableColumn id="15" name="2019 [%]" dataDxfId="517" totalsRowDxfId="516"/>
  </tableColumns>
  <tableStyleInfo name="TableStyleMedium14" showFirstColumn="0" showLastColumn="0" showRowStripes="1" showColumnStripes="0"/>
</table>
</file>

<file path=xl/tables/table89.xml><?xml version="1.0" encoding="utf-8"?>
<table xmlns="http://schemas.openxmlformats.org/spreadsheetml/2006/main" id="28" name="DSA" displayName="DSA" ref="A37:O46" totalsRowCount="1" headerRowDxfId="515" dataDxfId="514" totalsRowDxfId="512" tableBorderDxfId="513">
  <autoFilter ref="A37:O45"/>
  <tableColumns count="15">
    <tableColumn id="1" name="DIA DA SEMANA DO ACIDENTE" dataDxfId="511" totalsRowDxfId="510"/>
    <tableColumn id="2" name="Jan" totalsRowFunction="sum" dataDxfId="509" totalsRowDxfId="508"/>
    <tableColumn id="3" name="Fev" totalsRowFunction="sum" dataDxfId="507" totalsRowDxfId="506"/>
    <tableColumn id="4" name="Mar" totalsRowFunction="sum" dataDxfId="505" totalsRowDxfId="504"/>
    <tableColumn id="5" name="Abr" totalsRowFunction="sum" dataDxfId="503" totalsRowDxfId="502"/>
    <tableColumn id="6" name="Mai" totalsRowFunction="sum" dataDxfId="501" totalsRowDxfId="500"/>
    <tableColumn id="7" name="Jun" totalsRowFunction="sum" dataDxfId="499" totalsRowDxfId="498"/>
    <tableColumn id="8" name="Jul" totalsRowFunction="sum" dataDxfId="497" totalsRowDxfId="496"/>
    <tableColumn id="9" name="Ago" totalsRowFunction="sum" dataDxfId="495" totalsRowDxfId="494"/>
    <tableColumn id="10" name="Set" totalsRowFunction="sum" dataDxfId="493" totalsRowDxfId="492"/>
    <tableColumn id="11" name="Out" totalsRowFunction="sum" dataDxfId="491" totalsRowDxfId="490"/>
    <tableColumn id="12" name="Nov" totalsRowFunction="sum" dataDxfId="489" totalsRowDxfId="488"/>
    <tableColumn id="13" name="Dez" totalsRowFunction="sum" dataDxfId="487" totalsRowDxfId="486"/>
    <tableColumn id="14" name=" 2.019 " totalsRowFunction="sum" dataDxfId="485" totalsRowDxfId="484">
      <calculatedColumnFormula>SUM(DSA[[#This Row],[Jan]:[Dez]])</calculatedColumnFormula>
    </tableColumn>
    <tableColumn id="15" name="2019 [%]" dataDxfId="483" totalsRowDxfId="482">
      <calculatedColumnFormula>DSA[[#This Row],[ 2.019 ]]/DSA[[#Totals],[ 2.019 ]]</calculatedColumnFormula>
    </tableColumn>
  </tableColumns>
  <tableStyleInfo name="TableStyleMedium14" showFirstColumn="0" showLastColumn="0" showRowStripes="1" showColumnStripes="0"/>
</table>
</file>

<file path=xl/tables/table9.xml><?xml version="1.0" encoding="utf-8"?>
<table xmlns="http://schemas.openxmlformats.org/spreadsheetml/2006/main" id="47" name="nSI" displayName="nSI" ref="A51:N61" totalsRowShown="0" headerRowDxfId="2915" dataDxfId="2914">
  <autoFilter ref="A51:N61"/>
  <tableColumns count="14">
    <tableColumn id="1" name="UNIDADE" dataDxfId="2913"/>
    <tableColumn id="2" name="JAN" dataDxfId="2912"/>
    <tableColumn id="3" name="FEV" dataDxfId="2911"/>
    <tableColumn id="4" name="MAR" dataDxfId="2910"/>
    <tableColumn id="5" name="ABR" dataDxfId="2909"/>
    <tableColumn id="6" name="MAI" dataDxfId="2908"/>
    <tableColumn id="7" name="JUN" dataDxfId="2907"/>
    <tableColumn id="8" name="JUL" dataDxfId="2906"/>
    <tableColumn id="9" name="AGO" dataDxfId="2905"/>
    <tableColumn id="10" name="SET" dataDxfId="2904"/>
    <tableColumn id="11" name="OUT" dataDxfId="2903"/>
    <tableColumn id="12" name="NOV" dataDxfId="2902"/>
    <tableColumn id="13" name="DEZ" dataDxfId="2901"/>
    <tableColumn id="14" name="2019" dataDxfId="2900">
      <calculatedColumnFormula>SUM(nSI[[#This Row],[JAN]:[DEZ]])</calculatedColumnFormula>
    </tableColumn>
  </tableColumns>
  <tableStyleInfo name="TableStyleMedium14" showFirstColumn="0" showLastColumn="0" showRowStripes="1" showColumnStripes="0"/>
</table>
</file>

<file path=xl/tables/table90.xml><?xml version="1.0" encoding="utf-8"?>
<table xmlns="http://schemas.openxmlformats.org/spreadsheetml/2006/main" id="29" name="ART" displayName="ART" ref="A48:O54" totalsRowCount="1" headerRowDxfId="481" dataDxfId="480" totalsRowDxfId="478" tableBorderDxfId="479">
  <autoFilter ref="A48:O53"/>
  <tableColumns count="15">
    <tableColumn id="1" name="ACIDENTE RELACIONADO AO TRABALHO" dataDxfId="477" totalsRowDxfId="476"/>
    <tableColumn id="2" name="Jan" totalsRowFunction="sum" dataDxfId="475" totalsRowDxfId="474"/>
    <tableColumn id="3" name="Fev" totalsRowFunction="sum" dataDxfId="473" totalsRowDxfId="472"/>
    <tableColumn id="4" name="Mar" totalsRowFunction="sum" dataDxfId="471" totalsRowDxfId="470"/>
    <tableColumn id="5" name="Abr" totalsRowFunction="sum" dataDxfId="469" totalsRowDxfId="468"/>
    <tableColumn id="6" name="Mai" totalsRowFunction="sum" dataDxfId="467" totalsRowDxfId="466"/>
    <tableColumn id="7" name="Jun" totalsRowFunction="sum" dataDxfId="465" totalsRowDxfId="464"/>
    <tableColumn id="8" name="Jul" totalsRowFunction="sum" dataDxfId="463" totalsRowDxfId="462"/>
    <tableColumn id="9" name="Ago" totalsRowFunction="sum" dataDxfId="461" totalsRowDxfId="460"/>
    <tableColumn id="10" name="Set" totalsRowFunction="sum" dataDxfId="459" totalsRowDxfId="458"/>
    <tableColumn id="11" name="Out" totalsRowFunction="sum" dataDxfId="457" totalsRowDxfId="456"/>
    <tableColumn id="12" name="Nov" totalsRowFunction="sum" dataDxfId="455" totalsRowDxfId="454"/>
    <tableColumn id="13" name="Dez" totalsRowFunction="sum" dataDxfId="453" totalsRowDxfId="452"/>
    <tableColumn id="14" name=" 2.019 " totalsRowFunction="sum" dataDxfId="451" totalsRowDxfId="450">
      <calculatedColumnFormula>SUM(ART[[#This Row],[Jan]:[Dez]])</calculatedColumnFormula>
    </tableColumn>
    <tableColumn id="15" name="2019 [%]" dataDxfId="449" totalsRowDxfId="448">
      <calculatedColumnFormula>ART[[#This Row],[ 2.019 ]]/ART[[#Totals],[ 2.019 ]]</calculatedColumnFormula>
    </tableColumn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33" name="ML" displayName="ML" ref="A56:O63" totalsRowCount="1" headerRowDxfId="447" dataDxfId="446" totalsRowDxfId="444" tableBorderDxfId="445">
  <autoFilter ref="A56:O62"/>
  <tableColumns count="15">
    <tableColumn id="1" name="MEIO DE LOCOMOÇÃO" dataDxfId="443" totalsRowDxfId="442"/>
    <tableColumn id="2" name="Jan" totalsRowFunction="sum" dataDxfId="441" totalsRowDxfId="440"/>
    <tableColumn id="3" name="Fev" totalsRowFunction="sum" dataDxfId="439" totalsRowDxfId="438"/>
    <tableColumn id="4" name="Mar" totalsRowFunction="sum" dataDxfId="437" totalsRowDxfId="436"/>
    <tableColumn id="5" name="Abr" totalsRowFunction="sum" dataDxfId="435" totalsRowDxfId="434"/>
    <tableColumn id="6" name="Mai" totalsRowFunction="sum" dataDxfId="433" totalsRowDxfId="432"/>
    <tableColumn id="7" name="Jun" totalsRowFunction="sum" dataDxfId="431" totalsRowDxfId="430"/>
    <tableColumn id="8" name="Jul" totalsRowFunction="sum" dataDxfId="429" totalsRowDxfId="428"/>
    <tableColumn id="9" name="Ago" totalsRowFunction="sum" dataDxfId="427" totalsRowDxfId="426"/>
    <tableColumn id="10" name="Set" totalsRowFunction="sum" dataDxfId="425" totalsRowDxfId="424"/>
    <tableColumn id="11" name="Out" totalsRowFunction="sum" dataDxfId="423" totalsRowDxfId="422"/>
    <tableColumn id="12" name="Nov" totalsRowFunction="sum" dataDxfId="421" totalsRowDxfId="420"/>
    <tableColumn id="13" name="Dez" totalsRowFunction="sum" dataDxfId="419" totalsRowDxfId="418"/>
    <tableColumn id="14" name=" 2.019 " totalsRowFunction="sum" dataDxfId="417" totalsRowDxfId="416">
      <calculatedColumnFormula>SUM(ML[[#This Row],[Jan]:[Dez]])</calculatedColumnFormula>
    </tableColumn>
    <tableColumn id="15" name="2019 [%]" dataDxfId="415" totalsRowDxfId="414">
      <calculatedColumnFormula>ML[[#This Row],[ 2.019 ]]/ML[[#Totals],[ 2.019 ]]</calculatedColumnFormula>
    </tableColumn>
  </tableColumns>
  <tableStyleInfo name="TableStyleMedium14" showFirstColumn="0" showLastColumn="0" showRowStripes="1" showColumnStripes="0"/>
</table>
</file>

<file path=xl/tables/table92.xml><?xml version="1.0" encoding="utf-8"?>
<table xmlns="http://schemas.openxmlformats.org/spreadsheetml/2006/main" id="48" name="OPA" displayName="OPA" ref="A65:O78" totalsRowCount="1" headerRowDxfId="413" dataDxfId="412" totalsRowDxfId="410" tableBorderDxfId="411">
  <autoFilter ref="A65:O77"/>
  <tableColumns count="15">
    <tableColumn id="1" name="OUTRA PARTE ENVOLVIDA NO ACIDENTE" dataDxfId="409" totalsRowDxfId="408"/>
    <tableColumn id="2" name="Jan" totalsRowFunction="sum" dataDxfId="407" totalsRowDxfId="406"/>
    <tableColumn id="3" name="Fev" totalsRowFunction="sum" dataDxfId="405" totalsRowDxfId="404"/>
    <tableColumn id="4" name="Mar" totalsRowFunction="sum" dataDxfId="403" totalsRowDxfId="402"/>
    <tableColumn id="5" name="Abr" totalsRowFunction="sum" dataDxfId="401" totalsRowDxfId="400"/>
    <tableColumn id="6" name="Mai" totalsRowFunction="sum" dataDxfId="399" totalsRowDxfId="398"/>
    <tableColumn id="7" name="Jun" totalsRowFunction="sum" dataDxfId="397" totalsRowDxfId="396"/>
    <tableColumn id="8" name="Jul" totalsRowFunction="sum" dataDxfId="395" totalsRowDxfId="394"/>
    <tableColumn id="9" name="Ago" totalsRowFunction="sum" dataDxfId="393" totalsRowDxfId="392"/>
    <tableColumn id="10" name="Set" totalsRowFunction="sum" dataDxfId="391" totalsRowDxfId="390"/>
    <tableColumn id="11" name="Out" totalsRowFunction="sum" dataDxfId="389" totalsRowDxfId="388"/>
    <tableColumn id="12" name="Nov" totalsRowFunction="sum" dataDxfId="387" totalsRowDxfId="386"/>
    <tableColumn id="13" name="Dez" totalsRowFunction="sum" dataDxfId="385" totalsRowDxfId="384"/>
    <tableColumn id="14" name=" 2.019 " totalsRowFunction="sum" dataDxfId="383" totalsRowDxfId="382">
      <calculatedColumnFormula>SUM(OPA[[#This Row],[Jan]:[Dez]])</calculatedColumnFormula>
    </tableColumn>
    <tableColumn id="15" name="2019 [%]" dataDxfId="381" totalsRowDxfId="380">
      <calculatedColumnFormula>OPA[[#This Row],[ 2.019 ]]/OPA[[#Totals],[ 2.019 ]]</calculatedColumnFormula>
    </tableColumn>
  </tableColumns>
  <tableStyleInfo name="TableStyleMedium14" showFirstColumn="0" showLastColumn="0" showRowStripes="1" showColumnStripes="0"/>
</table>
</file>

<file path=xl/tables/table93.xml><?xml version="1.0" encoding="utf-8"?>
<table xmlns="http://schemas.openxmlformats.org/spreadsheetml/2006/main" id="50" name="EVO_2" displayName="EVO_2" ref="A80:O89" totalsRowCount="1" headerRowDxfId="379" dataDxfId="378" totalsRowDxfId="376" tableBorderDxfId="377">
  <autoFilter ref="A80:O88"/>
  <tableColumns count="15">
    <tableColumn id="1" name="EVOLUÇÃO EM ATÉ 72 HORAS DO ATENDIMENTO" dataDxfId="375" totalsRowDxfId="374"/>
    <tableColumn id="2" name="Jan" totalsRowFunction="sum" dataDxfId="373" totalsRowDxfId="372"/>
    <tableColumn id="3" name="Fev" totalsRowFunction="sum" dataDxfId="371" totalsRowDxfId="370"/>
    <tableColumn id="4" name="Mar" totalsRowFunction="sum" dataDxfId="369" totalsRowDxfId="368"/>
    <tableColumn id="5" name="Abr" totalsRowFunction="sum" dataDxfId="367" totalsRowDxfId="366"/>
    <tableColumn id="6" name="Mai" totalsRowFunction="sum" dataDxfId="365" totalsRowDxfId="364"/>
    <tableColumn id="7" name="Jun" totalsRowFunction="sum" dataDxfId="363" totalsRowDxfId="362"/>
    <tableColumn id="8" name="Jul" totalsRowFunction="sum" dataDxfId="361" totalsRowDxfId="360"/>
    <tableColumn id="9" name="Ago" totalsRowFunction="sum" dataDxfId="359" totalsRowDxfId="358"/>
    <tableColumn id="10" name="Set" totalsRowFunction="sum" dataDxfId="357" totalsRowDxfId="356"/>
    <tableColumn id="11" name="Out" totalsRowFunction="sum" dataDxfId="355" totalsRowDxfId="354"/>
    <tableColumn id="12" name="Nov" totalsRowFunction="sum" dataDxfId="353" totalsRowDxfId="352"/>
    <tableColumn id="13" name="Dez" totalsRowFunction="sum" dataDxfId="351" totalsRowDxfId="350"/>
    <tableColumn id="14" name=" 2.019 " totalsRowFunction="sum" dataDxfId="349" totalsRowDxfId="348">
      <calculatedColumnFormula>SUM(EVO_2[[#This Row],[Jan]:[Dez]])</calculatedColumnFormula>
    </tableColumn>
    <tableColumn id="15" name="2019 [%]" dataDxfId="347" totalsRowDxfId="346">
      <calculatedColumnFormula>EVO_2[[#This Row],[ 2.019 ]]/EVO_2[[#Totals],[ 2.019 ]]</calculatedColumnFormula>
    </tableColumn>
  </tableColumns>
  <tableStyleInfo name="TableStyleMedium14" showFirstColumn="0" showLastColumn="0" showRowStripes="1" showColumnStripes="0"/>
</table>
</file>

<file path=xl/tables/table94.xml><?xml version="1.0" encoding="utf-8"?>
<table xmlns="http://schemas.openxmlformats.org/spreadsheetml/2006/main" id="51" name="OPA_20" displayName="OPA_20" ref="A91:O104" totalsRowCount="1" headerRowDxfId="345" dataDxfId="344" totalsRowDxfId="342" tableBorderDxfId="343">
  <autoFilter ref="A91:O103"/>
  <tableColumns count="15">
    <tableColumn id="1" name="PARTE/REGIÃO DO CORPO ATINGIDA" dataDxfId="341" totalsRowDxfId="340"/>
    <tableColumn id="2" name="Jan" totalsRowFunction="sum" dataDxfId="339" totalsRowDxfId="338"/>
    <tableColumn id="3" name="Fev" totalsRowFunction="sum" dataDxfId="337" totalsRowDxfId="336"/>
    <tableColumn id="4" name="Mar" totalsRowFunction="sum" dataDxfId="335" totalsRowDxfId="334"/>
    <tableColumn id="5" name="Abr" totalsRowFunction="sum" dataDxfId="333" totalsRowDxfId="332"/>
    <tableColumn id="6" name="Mai" totalsRowFunction="sum" dataDxfId="331" totalsRowDxfId="330"/>
    <tableColumn id="7" name="Jun" totalsRowFunction="sum" dataDxfId="329" totalsRowDxfId="328"/>
    <tableColumn id="8" name="Jul" totalsRowFunction="sum" dataDxfId="327" totalsRowDxfId="326"/>
    <tableColumn id="9" name="Ago" totalsRowFunction="sum" dataDxfId="325" totalsRowDxfId="324"/>
    <tableColumn id="10" name="Set" totalsRowFunction="sum" dataDxfId="323" totalsRowDxfId="322"/>
    <tableColumn id="11" name="Out" totalsRowFunction="sum" dataDxfId="321" totalsRowDxfId="320"/>
    <tableColumn id="12" name="Nov" totalsRowFunction="sum" dataDxfId="319" totalsRowDxfId="318"/>
    <tableColumn id="13" name="Dez" totalsRowFunction="sum" dataDxfId="317" totalsRowDxfId="316"/>
    <tableColumn id="14" name=" 2.019 " totalsRowFunction="sum" dataDxfId="315" totalsRowDxfId="314">
      <calculatedColumnFormula>SUM(OPA_20[[#This Row],[Jan]:[Dez]])</calculatedColumnFormula>
    </tableColumn>
    <tableColumn id="15" name="2019 [%]" dataDxfId="313" totalsRowDxfId="312">
      <calculatedColumnFormula>OPA_20[[#This Row],[ 2.019 ]]/OPA_20[[#Totals],[ 2.019 ]]</calculatedColumnFormula>
    </tableColumn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52" name="OPA_2023" displayName="OPA_2023" ref="A106:O118" totalsRowCount="1" headerRowDxfId="311" dataDxfId="310" totalsRowDxfId="308" tableBorderDxfId="309">
  <autoFilter ref="A106:O117"/>
  <tableColumns count="15">
    <tableColumn id="1" name="NATUREZA DA LESÃO" dataDxfId="307" totalsRowDxfId="306"/>
    <tableColumn id="2" name="Jan" totalsRowFunction="sum" dataDxfId="305" totalsRowDxfId="304"/>
    <tableColumn id="3" name="Fev" totalsRowFunction="sum" dataDxfId="303" totalsRowDxfId="302"/>
    <tableColumn id="4" name="Mar" totalsRowFunction="sum" dataDxfId="301" totalsRowDxfId="300"/>
    <tableColumn id="5" name="Abr" totalsRowFunction="sum" dataDxfId="299" totalsRowDxfId="298"/>
    <tableColumn id="6" name="Mai" totalsRowFunction="sum" dataDxfId="297" totalsRowDxfId="296"/>
    <tableColumn id="7" name="Jun" totalsRowFunction="sum" dataDxfId="295" totalsRowDxfId="294"/>
    <tableColumn id="8" name="Jul" totalsRowFunction="sum" dataDxfId="293" totalsRowDxfId="292"/>
    <tableColumn id="9" name="Ago" totalsRowFunction="sum" dataDxfId="291" totalsRowDxfId="290"/>
    <tableColumn id="10" name="Set" totalsRowFunction="sum" dataDxfId="289" totalsRowDxfId="288"/>
    <tableColumn id="11" name="Out" totalsRowFunction="sum" dataDxfId="287" totalsRowDxfId="286"/>
    <tableColumn id="12" name="Nov" totalsRowFunction="sum" dataDxfId="285" totalsRowDxfId="284"/>
    <tableColumn id="13" name="Dez" totalsRowFunction="sum" dataDxfId="283" totalsRowDxfId="282"/>
    <tableColumn id="14" name=" 2.019 " totalsRowFunction="sum" dataDxfId="281" totalsRowDxfId="280">
      <calculatedColumnFormula>SUM(OPA_2023[[#This Row],[Jan]:[Dez]])</calculatedColumnFormula>
    </tableColumn>
    <tableColumn id="15" name="2019 [%]" dataDxfId="279" totalsRowDxfId="278">
      <calculatedColumnFormula>OPA_2023[[#This Row],[ 2.019 ]]/OPA_2023[[#Totals],[ 2.019 ]]</calculatedColumnFormula>
    </tableColumn>
  </tableColumns>
  <tableStyleInfo name="TableStyleMedium14" showFirstColumn="0" showLastColumn="0" showRowStripes="1" showColumnStripes="0"/>
</table>
</file>

<file path=xl/tables/table96.xml><?xml version="1.0" encoding="utf-8"?>
<table xmlns="http://schemas.openxmlformats.org/spreadsheetml/2006/main" id="53" name="ATT_M" displayName="ATT_M" ref="A2:N3" totalsRowShown="0" headerRowDxfId="277" dataDxfId="276">
  <autoFilter ref="A2:N3"/>
  <tableColumns count="14">
    <tableColumn id="1" name="ATT" dataDxfId="275"/>
    <tableColumn id="2" name="Jan" dataDxfId="274"/>
    <tableColumn id="3" name="Fev" dataDxfId="273"/>
    <tableColumn id="4" name="Mar" dataDxfId="272"/>
    <tableColumn id="5" name="Abr" dataDxfId="271"/>
    <tableColumn id="6" name="Mai" dataDxfId="270"/>
    <tableColumn id="7" name="Jun" dataDxfId="269"/>
    <tableColumn id="8" name="Jul" dataDxfId="268"/>
    <tableColumn id="9" name="Ago" dataDxfId="267"/>
    <tableColumn id="10" name="Set" dataDxfId="266"/>
    <tableColumn id="11" name="Out" dataDxfId="265"/>
    <tableColumn id="12" name="Nov" dataDxfId="264"/>
    <tableColumn id="13" name="Dez" dataDxfId="263"/>
    <tableColumn id="14" name="2019" dataDxfId="262">
      <calculatedColumnFormula>SUM(ATT_M[[Jan]:[Dez]])</calculatedColumnFormula>
    </tableColumn>
  </tableColumns>
  <tableStyleInfo name="TableStyleMedium14" showFirstColumn="0" showLastColumn="0" showRowStripes="1" showColumnStripes="0"/>
</table>
</file>

<file path=xl/tables/table97.xml><?xml version="1.0" encoding="utf-8"?>
<table xmlns="http://schemas.openxmlformats.org/spreadsheetml/2006/main" id="54" name="SEXO_M" displayName="SEXO_M" ref="A5:O9" totalsRowCount="1" headerRowDxfId="261" dataDxfId="260" totalsRowDxfId="259">
  <autoFilter ref="A5:O8"/>
  <tableColumns count="15">
    <tableColumn id="1" name="SEXO" totalsRowDxfId="258"/>
    <tableColumn id="2" name="Jan" totalsRowFunction="sum" dataDxfId="257" totalsRowDxfId="256"/>
    <tableColumn id="3" name="Fev" totalsRowFunction="sum" dataDxfId="255" totalsRowDxfId="254"/>
    <tableColumn id="4" name="Mar" totalsRowFunction="sum" dataDxfId="253" totalsRowDxfId="252"/>
    <tableColumn id="5" name="Abr" totalsRowFunction="sum" dataDxfId="251" totalsRowDxfId="250"/>
    <tableColumn id="6" name="Mai" totalsRowFunction="sum" dataDxfId="249" totalsRowDxfId="248"/>
    <tableColumn id="7" name="Jun" totalsRowFunction="sum" dataDxfId="247" totalsRowDxfId="246"/>
    <tableColumn id="8" name="Jul" totalsRowFunction="sum" dataDxfId="245" totalsRowDxfId="244"/>
    <tableColumn id="9" name="Ago" totalsRowFunction="sum" dataDxfId="243" totalsRowDxfId="242"/>
    <tableColumn id="10" name="Set" totalsRowFunction="sum" dataDxfId="241" totalsRowDxfId="240"/>
    <tableColumn id="11" name="Out" totalsRowFunction="sum" dataDxfId="239" totalsRowDxfId="238"/>
    <tableColumn id="12" name="Nov" totalsRowFunction="sum" dataDxfId="237" totalsRowDxfId="236"/>
    <tableColumn id="13" name="Dez" totalsRowFunction="sum" dataDxfId="235" totalsRowDxfId="234"/>
    <tableColumn id="14" name="2019" totalsRowFunction="sum" dataDxfId="233" totalsRowDxfId="232">
      <calculatedColumnFormula>SUM(SEXO_M[[#This Row],[Jan]:[Dez]])</calculatedColumnFormula>
    </tableColumn>
    <tableColumn id="15" name="2019 [%]" dataDxfId="231" totalsRowDxfId="230">
      <calculatedColumnFormula>SEXO_M[[#This Row],[2019]]/SEXO_M[[#Totals],[2019]]</calculatedColumnFormula>
    </tableColumn>
  </tableColumns>
  <tableStyleInfo name="TableStyleMedium14" showFirstColumn="0" showLastColumn="0" showRowStripes="1" showColumnStripes="0"/>
</table>
</file>

<file path=xl/tables/table98.xml><?xml version="1.0" encoding="utf-8"?>
<table xmlns="http://schemas.openxmlformats.org/spreadsheetml/2006/main" id="55" name="NA_M" displayName="NA_M" ref="A11:O19" totalsRowCount="1" headerRowDxfId="229" dataDxfId="228" totalsRowDxfId="226" tableBorderDxfId="227">
  <autoFilter ref="A11:O18"/>
  <tableColumns count="15">
    <tableColumn id="1" name="NATUREZA DO ACIDENTE" totalsRowDxfId="225"/>
    <tableColumn id="2" name="Jan" totalsRowFunction="sum" dataDxfId="224" totalsRowDxfId="223"/>
    <tableColumn id="3" name="Fev" totalsRowFunction="sum" dataDxfId="222" totalsRowDxfId="221"/>
    <tableColumn id="4" name="Mar" totalsRowFunction="sum" dataDxfId="220" totalsRowDxfId="219"/>
    <tableColumn id="5" name="Abr" totalsRowFunction="sum" dataDxfId="218" totalsRowDxfId="217"/>
    <tableColumn id="6" name="Mai" totalsRowFunction="sum" dataDxfId="216" totalsRowDxfId="215"/>
    <tableColumn id="7" name="Jun" totalsRowFunction="sum" dataDxfId="214" totalsRowDxfId="213"/>
    <tableColumn id="8" name="Jul" totalsRowFunction="sum" dataDxfId="212" totalsRowDxfId="211"/>
    <tableColumn id="9" name="Ago" totalsRowFunction="sum" dataDxfId="210" totalsRowDxfId="209"/>
    <tableColumn id="10" name="Set" totalsRowFunction="sum" dataDxfId="208" totalsRowDxfId="207"/>
    <tableColumn id="11" name="Out" totalsRowFunction="sum" dataDxfId="206" totalsRowDxfId="205"/>
    <tableColumn id="12" name="Nov" totalsRowFunction="sum" dataDxfId="204" totalsRowDxfId="203"/>
    <tableColumn id="13" name="Dez" totalsRowFunction="sum" dataDxfId="202" totalsRowDxfId="201"/>
    <tableColumn id="14" name="2019" totalsRowFunction="sum" dataDxfId="200" totalsRowDxfId="199">
      <calculatedColumnFormula>SUM(NA_M[[#This Row],[Jan]:[Dez]])</calculatedColumnFormula>
    </tableColumn>
    <tableColumn id="15" name="2019 [%]" dataDxfId="198" totalsRowDxfId="197">
      <calculatedColumnFormula>NA_M[[#This Row],[2019]]/NA_M[[#Totals],[2019]]</calculatedColumnFormula>
    </tableColumn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56" name="FRA_M" displayName="FRA_M" ref="A21:N26" totalsRowCount="1" headerRowDxfId="196" dataDxfId="195" totalsRowDxfId="193" tableBorderDxfId="194">
  <autoFilter ref="A21:N25"/>
  <tableColumns count="14">
    <tableColumn id="1" name="FATORES RELACIONADOS AO ACIDENTE" totalsRowDxfId="192"/>
    <tableColumn id="2" name="Jan" totalsRowFunction="sum" dataDxfId="191" totalsRowDxfId="190"/>
    <tableColumn id="3" name="Fev" totalsRowFunction="sum" dataDxfId="189" totalsRowDxfId="188"/>
    <tableColumn id="4" name="Mar" totalsRowFunction="sum" dataDxfId="187" totalsRowDxfId="186"/>
    <tableColumn id="5" name="Abr" totalsRowFunction="sum" dataDxfId="185" totalsRowDxfId="184"/>
    <tableColumn id="6" name="Mai" totalsRowFunction="sum" dataDxfId="183" totalsRowDxfId="182"/>
    <tableColumn id="7" name="Jun" totalsRowFunction="sum" dataDxfId="181" totalsRowDxfId="180"/>
    <tableColumn id="8" name="Jul" totalsRowFunction="sum" dataDxfId="179" totalsRowDxfId="178"/>
    <tableColumn id="9" name="Ago" totalsRowFunction="sum" dataDxfId="177" totalsRowDxfId="176"/>
    <tableColumn id="10" name="Set" totalsRowFunction="sum" dataDxfId="175" totalsRowDxfId="174"/>
    <tableColumn id="11" name="Out" totalsRowFunction="sum" dataDxfId="173" totalsRowDxfId="172"/>
    <tableColumn id="12" name="Nov" totalsRowFunction="sum" dataDxfId="171" totalsRowDxfId="170"/>
    <tableColumn id="13" name="Dez" totalsRowFunction="sum" dataDxfId="169" totalsRowDxfId="168"/>
    <tableColumn id="14" name="2019" totalsRowFunction="sum" dataDxfId="167" totalsRowDxfId="166">
      <calculatedColumnFormula>SUM(FRA_M[[#This Row],[Jan]:[Dez]])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9.xml"/><Relationship Id="rId13" Type="http://schemas.openxmlformats.org/officeDocument/2006/relationships/table" Target="../tables/table54.xml"/><Relationship Id="rId18" Type="http://schemas.openxmlformats.org/officeDocument/2006/relationships/table" Target="../tables/table59.xml"/><Relationship Id="rId3" Type="http://schemas.openxmlformats.org/officeDocument/2006/relationships/table" Target="../tables/table44.xml"/><Relationship Id="rId21" Type="http://schemas.openxmlformats.org/officeDocument/2006/relationships/table" Target="../tables/table62.xml"/><Relationship Id="rId7" Type="http://schemas.openxmlformats.org/officeDocument/2006/relationships/table" Target="../tables/table48.xml"/><Relationship Id="rId12" Type="http://schemas.openxmlformats.org/officeDocument/2006/relationships/table" Target="../tables/table53.xml"/><Relationship Id="rId17" Type="http://schemas.openxmlformats.org/officeDocument/2006/relationships/table" Target="../tables/table58.xml"/><Relationship Id="rId2" Type="http://schemas.openxmlformats.org/officeDocument/2006/relationships/table" Target="../tables/table43.xml"/><Relationship Id="rId16" Type="http://schemas.openxmlformats.org/officeDocument/2006/relationships/table" Target="../tables/table57.xml"/><Relationship Id="rId20" Type="http://schemas.openxmlformats.org/officeDocument/2006/relationships/table" Target="../tables/table61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47.xml"/><Relationship Id="rId11" Type="http://schemas.openxmlformats.org/officeDocument/2006/relationships/table" Target="../tables/table52.xml"/><Relationship Id="rId5" Type="http://schemas.openxmlformats.org/officeDocument/2006/relationships/table" Target="../tables/table46.xml"/><Relationship Id="rId15" Type="http://schemas.openxmlformats.org/officeDocument/2006/relationships/table" Target="../tables/table56.xml"/><Relationship Id="rId10" Type="http://schemas.openxmlformats.org/officeDocument/2006/relationships/table" Target="../tables/table51.xml"/><Relationship Id="rId19" Type="http://schemas.openxmlformats.org/officeDocument/2006/relationships/table" Target="../tables/table60.xml"/><Relationship Id="rId4" Type="http://schemas.openxmlformats.org/officeDocument/2006/relationships/table" Target="../tables/table45.xml"/><Relationship Id="rId9" Type="http://schemas.openxmlformats.org/officeDocument/2006/relationships/table" Target="../tables/table50.xml"/><Relationship Id="rId14" Type="http://schemas.openxmlformats.org/officeDocument/2006/relationships/table" Target="../tables/table55.xml"/><Relationship Id="rId22" Type="http://schemas.openxmlformats.org/officeDocument/2006/relationships/table" Target="../tables/table63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0.xml"/><Relationship Id="rId13" Type="http://schemas.openxmlformats.org/officeDocument/2006/relationships/table" Target="../tables/table75.xml"/><Relationship Id="rId3" Type="http://schemas.openxmlformats.org/officeDocument/2006/relationships/table" Target="../tables/table65.xml"/><Relationship Id="rId7" Type="http://schemas.openxmlformats.org/officeDocument/2006/relationships/table" Target="../tables/table69.xml"/><Relationship Id="rId12" Type="http://schemas.openxmlformats.org/officeDocument/2006/relationships/table" Target="../tables/table74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68.xml"/><Relationship Id="rId11" Type="http://schemas.openxmlformats.org/officeDocument/2006/relationships/table" Target="../tables/table73.xml"/><Relationship Id="rId5" Type="http://schemas.openxmlformats.org/officeDocument/2006/relationships/table" Target="../tables/table67.xml"/><Relationship Id="rId10" Type="http://schemas.openxmlformats.org/officeDocument/2006/relationships/table" Target="../tables/table72.xml"/><Relationship Id="rId4" Type="http://schemas.openxmlformats.org/officeDocument/2006/relationships/table" Target="../tables/table66.xml"/><Relationship Id="rId9" Type="http://schemas.openxmlformats.org/officeDocument/2006/relationships/table" Target="../tables/table71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2.xml"/><Relationship Id="rId3" Type="http://schemas.openxmlformats.org/officeDocument/2006/relationships/table" Target="../tables/table77.xml"/><Relationship Id="rId7" Type="http://schemas.openxmlformats.org/officeDocument/2006/relationships/table" Target="../tables/table81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80.xml"/><Relationship Id="rId5" Type="http://schemas.openxmlformats.org/officeDocument/2006/relationships/table" Target="../tables/table79.xml"/><Relationship Id="rId4" Type="http://schemas.openxmlformats.org/officeDocument/2006/relationships/table" Target="../tables/table78.xml"/><Relationship Id="rId9" Type="http://schemas.openxmlformats.org/officeDocument/2006/relationships/table" Target="../tables/table8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0.xml"/><Relationship Id="rId13" Type="http://schemas.openxmlformats.org/officeDocument/2006/relationships/table" Target="../tables/table95.xml"/><Relationship Id="rId3" Type="http://schemas.openxmlformats.org/officeDocument/2006/relationships/table" Target="../tables/table85.xml"/><Relationship Id="rId7" Type="http://schemas.openxmlformats.org/officeDocument/2006/relationships/table" Target="../tables/table89.xml"/><Relationship Id="rId12" Type="http://schemas.openxmlformats.org/officeDocument/2006/relationships/table" Target="../tables/table94.xml"/><Relationship Id="rId2" Type="http://schemas.openxmlformats.org/officeDocument/2006/relationships/table" Target="../tables/table84.xml"/><Relationship Id="rId1" Type="http://schemas.openxmlformats.org/officeDocument/2006/relationships/printerSettings" Target="../printerSettings/printerSettings14.bin"/><Relationship Id="rId6" Type="http://schemas.openxmlformats.org/officeDocument/2006/relationships/table" Target="../tables/table88.xml"/><Relationship Id="rId11" Type="http://schemas.openxmlformats.org/officeDocument/2006/relationships/table" Target="../tables/table93.xml"/><Relationship Id="rId5" Type="http://schemas.openxmlformats.org/officeDocument/2006/relationships/table" Target="../tables/table87.xml"/><Relationship Id="rId10" Type="http://schemas.openxmlformats.org/officeDocument/2006/relationships/table" Target="../tables/table92.xml"/><Relationship Id="rId4" Type="http://schemas.openxmlformats.org/officeDocument/2006/relationships/table" Target="../tables/table86.xml"/><Relationship Id="rId9" Type="http://schemas.openxmlformats.org/officeDocument/2006/relationships/table" Target="../tables/table91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2.xml"/><Relationship Id="rId3" Type="http://schemas.openxmlformats.org/officeDocument/2006/relationships/table" Target="../tables/table97.xml"/><Relationship Id="rId7" Type="http://schemas.openxmlformats.org/officeDocument/2006/relationships/table" Target="../tables/table101.xml"/><Relationship Id="rId2" Type="http://schemas.openxmlformats.org/officeDocument/2006/relationships/table" Target="../tables/table96.xml"/><Relationship Id="rId1" Type="http://schemas.openxmlformats.org/officeDocument/2006/relationships/printerSettings" Target="../printerSettings/printerSettings15.bin"/><Relationship Id="rId6" Type="http://schemas.openxmlformats.org/officeDocument/2006/relationships/table" Target="../tables/table100.xml"/><Relationship Id="rId5" Type="http://schemas.openxmlformats.org/officeDocument/2006/relationships/table" Target="../tables/table99.xml"/><Relationship Id="rId10" Type="http://schemas.openxmlformats.org/officeDocument/2006/relationships/table" Target="../tables/table104.xml"/><Relationship Id="rId4" Type="http://schemas.openxmlformats.org/officeDocument/2006/relationships/table" Target="../tables/table98.xml"/><Relationship Id="rId9" Type="http://schemas.openxmlformats.org/officeDocument/2006/relationships/table" Target="../tables/table10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.xml"/><Relationship Id="rId3" Type="http://schemas.openxmlformats.org/officeDocument/2006/relationships/table" Target="../tables/table22.xml"/><Relationship Id="rId7" Type="http://schemas.openxmlformats.org/officeDocument/2006/relationships/table" Target="../tables/table26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7" Type="http://schemas.openxmlformats.org/officeDocument/2006/relationships/table" Target="../tables/table33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32.xml"/><Relationship Id="rId5" Type="http://schemas.openxmlformats.org/officeDocument/2006/relationships/table" Target="../tables/table31.xml"/><Relationship Id="rId4" Type="http://schemas.openxmlformats.org/officeDocument/2006/relationships/table" Target="../tables/table3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3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58"/>
  <sheetViews>
    <sheetView tabSelected="1" topLeftCell="A2" zoomScale="80" zoomScaleNormal="80" workbookViewId="0">
      <selection activeCell="A2" sqref="A2:N2"/>
    </sheetView>
  </sheetViews>
  <sheetFormatPr defaultRowHeight="11.25" x14ac:dyDescent="0.2"/>
  <cols>
    <col min="1" max="1" width="34.7109375" style="1" bestFit="1" customWidth="1"/>
    <col min="2" max="13" width="9.140625" style="1"/>
    <col min="14" max="14" width="9.140625" style="2"/>
    <col min="15" max="16384" width="9.140625" style="1"/>
  </cols>
  <sheetData>
    <row r="1" spans="1:14" ht="12" hidden="1" thickBot="1" x14ac:dyDescent="0.25">
      <c r="B1" s="18">
        <v>31</v>
      </c>
      <c r="C1" s="18">
        <v>28</v>
      </c>
      <c r="D1" s="18">
        <v>31</v>
      </c>
      <c r="E1" s="18">
        <v>30</v>
      </c>
      <c r="F1" s="18">
        <v>31</v>
      </c>
      <c r="G1" s="18">
        <v>30</v>
      </c>
      <c r="H1" s="18">
        <v>31</v>
      </c>
      <c r="I1" s="18">
        <v>31</v>
      </c>
      <c r="J1" s="18">
        <v>30</v>
      </c>
      <c r="K1" s="18">
        <v>31</v>
      </c>
      <c r="L1" s="18">
        <v>30</v>
      </c>
      <c r="M1" s="18">
        <v>31</v>
      </c>
      <c r="N1" s="117">
        <f>SUM(B1:M1)</f>
        <v>365</v>
      </c>
    </row>
    <row r="2" spans="1:14" ht="20.25" thickTop="1" thickBot="1" x14ac:dyDescent="0.25">
      <c r="A2" s="153" t="s">
        <v>239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12" thickTop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2" t="s">
        <v>241</v>
      </c>
    </row>
    <row r="4" spans="1:14" x14ac:dyDescent="0.2">
      <c r="A4" s="1" t="s">
        <v>13</v>
      </c>
      <c r="B4" s="12">
        <v>5669</v>
      </c>
      <c r="C4" s="12">
        <v>5051</v>
      </c>
      <c r="D4" s="12">
        <v>5925</v>
      </c>
      <c r="E4" s="12">
        <v>5798</v>
      </c>
      <c r="F4" s="12">
        <v>6208</v>
      </c>
      <c r="G4" s="12">
        <v>5418</v>
      </c>
      <c r="H4" s="12">
        <v>6306</v>
      </c>
      <c r="I4" s="12">
        <v>6214</v>
      </c>
      <c r="J4" s="12">
        <v>6025</v>
      </c>
      <c r="K4" s="12">
        <v>6484</v>
      </c>
      <c r="L4" s="12">
        <v>6117</v>
      </c>
      <c r="M4" s="12">
        <v>5991</v>
      </c>
      <c r="N4" s="11">
        <f>SUM(PacDia[[#This Row],[JAN]:[DEZ]])</f>
        <v>71206</v>
      </c>
    </row>
    <row r="5" spans="1:14" x14ac:dyDescent="0.2">
      <c r="A5" s="1" t="s">
        <v>14</v>
      </c>
      <c r="B5" s="12">
        <v>960</v>
      </c>
      <c r="C5" s="12">
        <v>865</v>
      </c>
      <c r="D5" s="12">
        <v>995</v>
      </c>
      <c r="E5" s="12">
        <v>1005</v>
      </c>
      <c r="F5" s="12">
        <v>1014</v>
      </c>
      <c r="G5" s="12">
        <v>971</v>
      </c>
      <c r="H5" s="12">
        <v>1041</v>
      </c>
      <c r="I5" s="12">
        <v>1036</v>
      </c>
      <c r="J5" s="12">
        <v>974</v>
      </c>
      <c r="K5" s="12">
        <v>1028</v>
      </c>
      <c r="L5" s="12">
        <v>1029</v>
      </c>
      <c r="M5" s="12">
        <v>1031</v>
      </c>
      <c r="N5" s="11">
        <f>SUM(PacDia[[#This Row],[JAN]:[DEZ]])</f>
        <v>11949</v>
      </c>
    </row>
    <row r="6" spans="1:14" x14ac:dyDescent="0.2">
      <c r="A6" s="1" t="s">
        <v>15</v>
      </c>
      <c r="B6" s="12">
        <v>954</v>
      </c>
      <c r="C6" s="12">
        <v>890</v>
      </c>
      <c r="D6" s="12">
        <v>1003</v>
      </c>
      <c r="E6" s="12">
        <v>925</v>
      </c>
      <c r="F6" s="12">
        <v>938</v>
      </c>
      <c r="G6" s="12">
        <v>914</v>
      </c>
      <c r="H6" s="12">
        <v>1010</v>
      </c>
      <c r="I6" s="12">
        <v>969</v>
      </c>
      <c r="J6" s="12">
        <v>944</v>
      </c>
      <c r="K6" s="12">
        <v>1016</v>
      </c>
      <c r="L6" s="12">
        <v>1000</v>
      </c>
      <c r="M6" s="12">
        <v>1081</v>
      </c>
      <c r="N6" s="11">
        <f>SUM(PacDia[[#This Row],[JAN]:[DEZ]])</f>
        <v>11644</v>
      </c>
    </row>
    <row r="7" spans="1:14" x14ac:dyDescent="0.2">
      <c r="A7" s="1" t="s">
        <v>16</v>
      </c>
      <c r="B7" s="12">
        <v>1132</v>
      </c>
      <c r="C7" s="12">
        <v>1022</v>
      </c>
      <c r="D7" s="12">
        <v>1123</v>
      </c>
      <c r="E7" s="12">
        <v>1081</v>
      </c>
      <c r="F7" s="12">
        <v>1126</v>
      </c>
      <c r="G7" s="12">
        <v>1090</v>
      </c>
      <c r="H7" s="12">
        <v>1135</v>
      </c>
      <c r="I7" s="12">
        <v>1122</v>
      </c>
      <c r="J7" s="12">
        <v>1108</v>
      </c>
      <c r="K7" s="12">
        <v>1111</v>
      </c>
      <c r="L7" s="12">
        <v>1095</v>
      </c>
      <c r="M7" s="12">
        <v>1146</v>
      </c>
      <c r="N7" s="11">
        <f>SUM(PacDia[[#This Row],[JAN]:[DEZ]])</f>
        <v>13291</v>
      </c>
    </row>
    <row r="8" spans="1:14" x14ac:dyDescent="0.2">
      <c r="A8" s="1" t="s">
        <v>17</v>
      </c>
      <c r="B8" s="12">
        <v>294</v>
      </c>
      <c r="C8" s="12">
        <v>270</v>
      </c>
      <c r="D8" s="12">
        <v>295</v>
      </c>
      <c r="E8" s="12">
        <v>292</v>
      </c>
      <c r="F8" s="12">
        <v>298</v>
      </c>
      <c r="G8" s="12">
        <v>289</v>
      </c>
      <c r="H8" s="12">
        <v>289</v>
      </c>
      <c r="I8" s="12">
        <v>300</v>
      </c>
      <c r="J8" s="12">
        <v>294</v>
      </c>
      <c r="K8" s="12">
        <v>302</v>
      </c>
      <c r="L8" s="12">
        <v>293</v>
      </c>
      <c r="M8" s="12">
        <v>299</v>
      </c>
      <c r="N8" s="11">
        <f>SUM(PacDia[[#This Row],[JAN]:[DEZ]])</f>
        <v>3515</v>
      </c>
    </row>
    <row r="9" spans="1:14" x14ac:dyDescent="0.2">
      <c r="A9" s="66" t="s">
        <v>211</v>
      </c>
      <c r="B9" s="67">
        <v>142</v>
      </c>
      <c r="C9" s="67">
        <v>135</v>
      </c>
      <c r="D9" s="67">
        <v>158</v>
      </c>
      <c r="E9" s="67">
        <v>162</v>
      </c>
      <c r="F9" s="67">
        <v>171</v>
      </c>
      <c r="G9" s="67">
        <v>136</v>
      </c>
      <c r="H9" s="67">
        <v>147</v>
      </c>
      <c r="I9" s="67">
        <v>179</v>
      </c>
      <c r="J9" s="67">
        <v>163</v>
      </c>
      <c r="K9" s="67">
        <v>198</v>
      </c>
      <c r="L9" s="67">
        <v>208</v>
      </c>
      <c r="M9" s="67">
        <v>228</v>
      </c>
      <c r="N9" s="68">
        <f>SUM(PacDia[[#This Row],[JAN]:[DEZ]])</f>
        <v>2027</v>
      </c>
    </row>
    <row r="10" spans="1:14" x14ac:dyDescent="0.2">
      <c r="A10" s="1" t="s">
        <v>165</v>
      </c>
      <c r="B10" s="12">
        <v>394</v>
      </c>
      <c r="C10" s="12">
        <v>337</v>
      </c>
      <c r="D10" s="12">
        <v>440</v>
      </c>
      <c r="E10" s="12">
        <v>476</v>
      </c>
      <c r="F10" s="12">
        <v>462</v>
      </c>
      <c r="G10" s="12">
        <v>354</v>
      </c>
      <c r="H10" s="12">
        <v>443</v>
      </c>
      <c r="I10" s="12">
        <v>384</v>
      </c>
      <c r="J10" s="12">
        <v>406</v>
      </c>
      <c r="K10" s="12">
        <v>456</v>
      </c>
      <c r="L10" s="12">
        <v>406</v>
      </c>
      <c r="M10" s="12">
        <v>369</v>
      </c>
      <c r="N10" s="11">
        <f>SUM(PacDia[[#This Row],[JAN]:[DEZ]])</f>
        <v>4927</v>
      </c>
    </row>
    <row r="11" spans="1:14" x14ac:dyDescent="0.2">
      <c r="A11" s="1" t="s">
        <v>166</v>
      </c>
      <c r="B11" s="12">
        <v>1617</v>
      </c>
      <c r="C11" s="12">
        <v>1401</v>
      </c>
      <c r="D11" s="12">
        <v>1783</v>
      </c>
      <c r="E11" s="12">
        <v>1770</v>
      </c>
      <c r="F11" s="12">
        <v>1963</v>
      </c>
      <c r="G11" s="12">
        <v>1507</v>
      </c>
      <c r="H11" s="12">
        <v>2021</v>
      </c>
      <c r="I11" s="12">
        <v>1950</v>
      </c>
      <c r="J11" s="12">
        <v>1883</v>
      </c>
      <c r="K11" s="12">
        <v>2092</v>
      </c>
      <c r="L11" s="12">
        <v>1859</v>
      </c>
      <c r="M11" s="12">
        <v>1626</v>
      </c>
      <c r="N11" s="11">
        <f>SUM(PacDia[[#This Row],[JAN]:[DEZ]])</f>
        <v>21472</v>
      </c>
    </row>
    <row r="12" spans="1:14" x14ac:dyDescent="0.2">
      <c r="A12" s="1" t="s">
        <v>167</v>
      </c>
      <c r="B12" s="12">
        <v>134</v>
      </c>
      <c r="C12" s="12">
        <v>135</v>
      </c>
      <c r="D12" s="12">
        <v>148</v>
      </c>
      <c r="E12" s="12">
        <v>146</v>
      </c>
      <c r="F12" s="12">
        <v>140</v>
      </c>
      <c r="G12" s="12">
        <v>125</v>
      </c>
      <c r="H12" s="12">
        <v>149</v>
      </c>
      <c r="I12" s="12">
        <v>154</v>
      </c>
      <c r="J12" s="12">
        <v>135</v>
      </c>
      <c r="K12" s="12">
        <v>142</v>
      </c>
      <c r="L12" s="12">
        <v>138</v>
      </c>
      <c r="M12" s="12">
        <v>143</v>
      </c>
      <c r="N12" s="11">
        <f>SUM(PacDia[[#This Row],[JAN]:[DEZ]])</f>
        <v>1689</v>
      </c>
    </row>
    <row r="13" spans="1:14" ht="12" thickBot="1" x14ac:dyDescent="0.25">
      <c r="A13" s="1" t="s">
        <v>168</v>
      </c>
      <c r="B13" s="12">
        <v>288</v>
      </c>
      <c r="C13" s="12">
        <v>279</v>
      </c>
      <c r="D13" s="12">
        <v>284</v>
      </c>
      <c r="E13" s="12">
        <v>315</v>
      </c>
      <c r="F13" s="12">
        <v>329</v>
      </c>
      <c r="G13" s="12">
        <v>284</v>
      </c>
      <c r="H13" s="12">
        <v>343</v>
      </c>
      <c r="I13" s="12">
        <v>366</v>
      </c>
      <c r="J13" s="12">
        <v>357</v>
      </c>
      <c r="K13" s="12">
        <v>330</v>
      </c>
      <c r="L13" s="12">
        <v>353</v>
      </c>
      <c r="M13" s="12">
        <v>357</v>
      </c>
      <c r="N13" s="11">
        <f>SUM(PacDia[[#This Row],[JAN]:[DEZ]])</f>
        <v>3885</v>
      </c>
    </row>
    <row r="14" spans="1:14" ht="20.25" thickTop="1" thickBot="1" x14ac:dyDescent="0.25">
      <c r="A14" s="152" t="s">
        <v>214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ht="12" thickTop="1" x14ac:dyDescent="0.2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2" t="s">
        <v>241</v>
      </c>
    </row>
    <row r="16" spans="1:14" x14ac:dyDescent="0.2">
      <c r="A16" s="1" t="s">
        <v>13</v>
      </c>
      <c r="B16" s="12">
        <v>785</v>
      </c>
      <c r="C16" s="12">
        <v>706</v>
      </c>
      <c r="D16" s="12">
        <v>830</v>
      </c>
      <c r="E16" s="76">
        <v>849</v>
      </c>
      <c r="F16" s="12">
        <v>849</v>
      </c>
      <c r="G16" s="12">
        <v>738</v>
      </c>
      <c r="H16" s="12">
        <v>827</v>
      </c>
      <c r="I16" s="12">
        <v>841</v>
      </c>
      <c r="J16" s="12">
        <v>831</v>
      </c>
      <c r="K16" s="12">
        <v>872</v>
      </c>
      <c r="L16" s="12">
        <v>778</v>
      </c>
      <c r="M16" s="12">
        <v>743</v>
      </c>
      <c r="N16" s="11">
        <f>SUM(nI[[#This Row],[JAN]:[DEZ]])</f>
        <v>9649</v>
      </c>
    </row>
    <row r="17" spans="1:14" x14ac:dyDescent="0.2">
      <c r="A17" s="1" t="s">
        <v>14</v>
      </c>
      <c r="B17" s="12">
        <v>7</v>
      </c>
      <c r="C17" s="12">
        <v>3</v>
      </c>
      <c r="D17" s="12">
        <v>2</v>
      </c>
      <c r="E17" s="76">
        <v>6</v>
      </c>
      <c r="F17" s="12">
        <v>1</v>
      </c>
      <c r="G17" s="12">
        <v>2</v>
      </c>
      <c r="H17" s="12">
        <v>3</v>
      </c>
      <c r="I17" s="12">
        <v>0</v>
      </c>
      <c r="J17" s="12">
        <v>3</v>
      </c>
      <c r="K17" s="12">
        <v>4</v>
      </c>
      <c r="L17" s="12">
        <v>2</v>
      </c>
      <c r="M17" s="12">
        <v>4</v>
      </c>
      <c r="N17" s="11">
        <f>SUM(nI[[#This Row],[JAN]:[DEZ]])</f>
        <v>37</v>
      </c>
    </row>
    <row r="18" spans="1:14" x14ac:dyDescent="0.2">
      <c r="A18" s="1" t="s">
        <v>15</v>
      </c>
      <c r="B18" s="12">
        <v>22</v>
      </c>
      <c r="C18" s="12">
        <v>20</v>
      </c>
      <c r="D18" s="12">
        <v>9</v>
      </c>
      <c r="E18" s="76">
        <v>10</v>
      </c>
      <c r="F18" s="76">
        <v>14</v>
      </c>
      <c r="G18" s="12">
        <v>17</v>
      </c>
      <c r="H18" s="12">
        <v>24</v>
      </c>
      <c r="I18" s="12">
        <v>21</v>
      </c>
      <c r="J18" s="12">
        <v>16</v>
      </c>
      <c r="K18" s="12">
        <v>21</v>
      </c>
      <c r="L18" s="12">
        <v>22</v>
      </c>
      <c r="M18" s="12">
        <v>16</v>
      </c>
      <c r="N18" s="11">
        <f>SUM(nI[[#This Row],[JAN]:[DEZ]])</f>
        <v>212</v>
      </c>
    </row>
    <row r="19" spans="1:14" x14ac:dyDescent="0.2">
      <c r="A19" s="1" t="s">
        <v>16</v>
      </c>
      <c r="B19" s="12">
        <v>0</v>
      </c>
      <c r="C19" s="12">
        <v>0</v>
      </c>
      <c r="D19" s="12">
        <v>0</v>
      </c>
      <c r="E19" s="76">
        <v>0</v>
      </c>
      <c r="F19" s="76">
        <v>0</v>
      </c>
      <c r="G19" s="12">
        <v>0</v>
      </c>
      <c r="H19" s="12">
        <v>7</v>
      </c>
      <c r="I19" s="12">
        <v>5</v>
      </c>
      <c r="J19" s="12">
        <v>1</v>
      </c>
      <c r="K19" s="12">
        <v>4</v>
      </c>
      <c r="L19" s="12">
        <v>2</v>
      </c>
      <c r="M19" s="12">
        <v>1</v>
      </c>
      <c r="N19" s="11">
        <f>SUM(nI[[#This Row],[JAN]:[DEZ]])</f>
        <v>20</v>
      </c>
    </row>
    <row r="20" spans="1:14" x14ac:dyDescent="0.2">
      <c r="A20" s="1" t="s">
        <v>17</v>
      </c>
      <c r="B20" s="12">
        <v>0</v>
      </c>
      <c r="C20" s="12">
        <v>0</v>
      </c>
      <c r="D20" s="12">
        <v>0</v>
      </c>
      <c r="E20" s="76">
        <v>0</v>
      </c>
      <c r="F20" s="76">
        <v>0</v>
      </c>
      <c r="G20" s="12">
        <v>0</v>
      </c>
      <c r="H20" s="12">
        <v>0</v>
      </c>
      <c r="I20" s="12">
        <v>0</v>
      </c>
      <c r="J20" s="12">
        <v>1</v>
      </c>
      <c r="K20" s="12">
        <v>0</v>
      </c>
      <c r="L20" s="12">
        <v>0</v>
      </c>
      <c r="M20" s="12">
        <v>0</v>
      </c>
      <c r="N20" s="11">
        <f>SUM(nI[[#This Row],[JAN]:[DEZ]])</f>
        <v>1</v>
      </c>
    </row>
    <row r="21" spans="1:14" x14ac:dyDescent="0.2">
      <c r="A21" s="66" t="s">
        <v>211</v>
      </c>
      <c r="B21" s="67">
        <v>26</v>
      </c>
      <c r="C21" s="67">
        <v>35</v>
      </c>
      <c r="D21" s="67">
        <v>36</v>
      </c>
      <c r="E21" s="76">
        <v>34</v>
      </c>
      <c r="F21" s="76">
        <v>37</v>
      </c>
      <c r="G21" s="67">
        <v>32</v>
      </c>
      <c r="H21" s="67">
        <v>25</v>
      </c>
      <c r="I21" s="67">
        <v>38</v>
      </c>
      <c r="J21" s="67">
        <v>37</v>
      </c>
      <c r="K21" s="67">
        <v>61</v>
      </c>
      <c r="L21" s="67">
        <v>56</v>
      </c>
      <c r="M21" s="67">
        <v>56</v>
      </c>
      <c r="N21" s="68">
        <f>SUM(nI[[#This Row],[JAN]:[DEZ]])</f>
        <v>473</v>
      </c>
    </row>
    <row r="22" spans="1:14" x14ac:dyDescent="0.2">
      <c r="A22" s="1" t="s">
        <v>165</v>
      </c>
      <c r="B22" s="12">
        <v>238</v>
      </c>
      <c r="C22" s="12">
        <v>217</v>
      </c>
      <c r="D22" s="12">
        <v>268</v>
      </c>
      <c r="E22" s="76">
        <v>283</v>
      </c>
      <c r="F22" s="76">
        <v>259</v>
      </c>
      <c r="G22" s="12">
        <v>201</v>
      </c>
      <c r="H22" s="12">
        <v>241</v>
      </c>
      <c r="I22" s="12">
        <v>215</v>
      </c>
      <c r="J22" s="12">
        <v>229</v>
      </c>
      <c r="K22" s="12">
        <v>249</v>
      </c>
      <c r="L22" s="12">
        <v>211</v>
      </c>
      <c r="M22" s="12">
        <v>204</v>
      </c>
      <c r="N22" s="11">
        <f>SUM(nI[[#This Row],[JAN]:[DEZ]])</f>
        <v>2815</v>
      </c>
    </row>
    <row r="23" spans="1:14" x14ac:dyDescent="0.2">
      <c r="A23" s="1" t="s">
        <v>166</v>
      </c>
      <c r="B23" s="12">
        <v>317</v>
      </c>
      <c r="C23" s="12">
        <v>280</v>
      </c>
      <c r="D23" s="12">
        <v>370</v>
      </c>
      <c r="E23" s="76">
        <v>344</v>
      </c>
      <c r="F23" s="76">
        <v>340</v>
      </c>
      <c r="G23" s="12">
        <v>332</v>
      </c>
      <c r="H23" s="12">
        <v>346</v>
      </c>
      <c r="I23" s="12">
        <v>381</v>
      </c>
      <c r="J23" s="12">
        <v>347</v>
      </c>
      <c r="K23" s="12">
        <v>409</v>
      </c>
      <c r="L23" s="12">
        <v>328</v>
      </c>
      <c r="M23" s="12">
        <v>286</v>
      </c>
      <c r="N23" s="11">
        <f>SUM(nI[[#This Row],[JAN]:[DEZ]])</f>
        <v>4080</v>
      </c>
    </row>
    <row r="24" spans="1:14" x14ac:dyDescent="0.2">
      <c r="A24" s="1" t="s">
        <v>167</v>
      </c>
      <c r="B24" s="12">
        <v>0</v>
      </c>
      <c r="C24" s="12">
        <v>0</v>
      </c>
      <c r="D24" s="12">
        <v>0</v>
      </c>
      <c r="E24" s="76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1">
        <f>SUM(nI[[#This Row],[JAN]:[DEZ]])</f>
        <v>0</v>
      </c>
    </row>
    <row r="25" spans="1:14" ht="12" thickBot="1" x14ac:dyDescent="0.25">
      <c r="A25" s="1" t="s">
        <v>168</v>
      </c>
      <c r="B25" s="12">
        <v>175</v>
      </c>
      <c r="C25" s="12">
        <v>151</v>
      </c>
      <c r="D25" s="12">
        <v>145</v>
      </c>
      <c r="E25" s="76">
        <v>172</v>
      </c>
      <c r="F25" s="12">
        <v>198</v>
      </c>
      <c r="G25" s="12">
        <v>154</v>
      </c>
      <c r="H25" s="12">
        <v>181</v>
      </c>
      <c r="I25" s="12">
        <v>181</v>
      </c>
      <c r="J25" s="12">
        <v>197</v>
      </c>
      <c r="K25" s="12">
        <v>124</v>
      </c>
      <c r="L25" s="12">
        <v>157</v>
      </c>
      <c r="M25" s="12">
        <v>176</v>
      </c>
      <c r="N25" s="11">
        <f>SUM(nI[[#This Row],[JAN]:[DEZ]])</f>
        <v>2011</v>
      </c>
    </row>
    <row r="26" spans="1:14" ht="20.25" thickTop="1" thickBot="1" x14ac:dyDescent="0.25">
      <c r="A26" s="152" t="s">
        <v>162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</row>
    <row r="27" spans="1:14" ht="12" thickTop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2" t="s">
        <v>241</v>
      </c>
    </row>
    <row r="28" spans="1:14" x14ac:dyDescent="0.2">
      <c r="A28" s="1" t="s">
        <v>13</v>
      </c>
      <c r="B28" s="12">
        <v>772</v>
      </c>
      <c r="C28" s="12">
        <v>690</v>
      </c>
      <c r="D28" s="12">
        <v>798</v>
      </c>
      <c r="E28" s="12">
        <v>861</v>
      </c>
      <c r="F28" s="12">
        <v>874</v>
      </c>
      <c r="G28" s="12">
        <v>732</v>
      </c>
      <c r="H28" s="12">
        <v>821</v>
      </c>
      <c r="I28" s="12">
        <v>828</v>
      </c>
      <c r="J28" s="12">
        <v>835</v>
      </c>
      <c r="K28" s="12">
        <v>881</v>
      </c>
      <c r="L28" s="12">
        <v>794</v>
      </c>
      <c r="M28" s="12">
        <v>735</v>
      </c>
      <c r="N28" s="11">
        <f>SUM(nS[[#This Row],[JAN]:[DEZ]])</f>
        <v>9621</v>
      </c>
    </row>
    <row r="29" spans="1:14" x14ac:dyDescent="0.2">
      <c r="A29" s="1" t="s">
        <v>14</v>
      </c>
      <c r="B29" s="12">
        <v>146</v>
      </c>
      <c r="C29" s="12">
        <v>139</v>
      </c>
      <c r="D29" s="12">
        <v>157</v>
      </c>
      <c r="E29" s="12">
        <v>166</v>
      </c>
      <c r="F29" s="12">
        <v>138</v>
      </c>
      <c r="G29" s="12">
        <v>141</v>
      </c>
      <c r="H29" s="12">
        <v>135</v>
      </c>
      <c r="I29" s="12">
        <v>142</v>
      </c>
      <c r="J29" s="12">
        <v>119</v>
      </c>
      <c r="K29" s="12">
        <v>121</v>
      </c>
      <c r="L29" s="12">
        <v>129</v>
      </c>
      <c r="M29" s="12">
        <v>128</v>
      </c>
      <c r="N29" s="11">
        <f>SUM(nS[[#This Row],[JAN]:[DEZ]])</f>
        <v>1661</v>
      </c>
    </row>
    <row r="30" spans="1:14" x14ac:dyDescent="0.2">
      <c r="A30" s="1" t="s">
        <v>15</v>
      </c>
      <c r="B30" s="12">
        <v>143</v>
      </c>
      <c r="C30" s="12">
        <v>151</v>
      </c>
      <c r="D30" s="12">
        <v>129</v>
      </c>
      <c r="E30" s="12">
        <v>149</v>
      </c>
      <c r="F30" s="12">
        <v>161</v>
      </c>
      <c r="G30" s="12">
        <v>145</v>
      </c>
      <c r="H30" s="12">
        <v>145</v>
      </c>
      <c r="I30" s="12">
        <v>158</v>
      </c>
      <c r="J30" s="12">
        <v>174</v>
      </c>
      <c r="K30" s="12">
        <v>179</v>
      </c>
      <c r="L30" s="12">
        <v>177</v>
      </c>
      <c r="M30" s="12">
        <v>155</v>
      </c>
      <c r="N30" s="11">
        <f>SUM(nS[[#This Row],[JAN]:[DEZ]])</f>
        <v>1866</v>
      </c>
    </row>
    <row r="31" spans="1:14" x14ac:dyDescent="0.2">
      <c r="A31" s="1" t="s">
        <v>16</v>
      </c>
      <c r="B31" s="12">
        <v>73</v>
      </c>
      <c r="C31" s="12">
        <v>53</v>
      </c>
      <c r="D31" s="12">
        <v>67</v>
      </c>
      <c r="E31" s="12">
        <v>71</v>
      </c>
      <c r="F31" s="12">
        <v>84</v>
      </c>
      <c r="G31" s="12">
        <v>79</v>
      </c>
      <c r="H31" s="12">
        <v>80</v>
      </c>
      <c r="I31" s="12">
        <v>100</v>
      </c>
      <c r="J31" s="12">
        <v>90</v>
      </c>
      <c r="K31" s="12">
        <v>72</v>
      </c>
      <c r="L31" s="12">
        <v>58</v>
      </c>
      <c r="M31" s="12">
        <v>70</v>
      </c>
      <c r="N31" s="11">
        <f>SUM(nS[[#This Row],[JAN]:[DEZ]])</f>
        <v>897</v>
      </c>
    </row>
    <row r="32" spans="1:14" x14ac:dyDescent="0.2">
      <c r="A32" s="1" t="s">
        <v>17</v>
      </c>
      <c r="B32" s="12">
        <v>33</v>
      </c>
      <c r="C32" s="12">
        <v>31</v>
      </c>
      <c r="D32" s="12">
        <v>36</v>
      </c>
      <c r="E32" s="12">
        <v>49</v>
      </c>
      <c r="F32" s="12">
        <v>42</v>
      </c>
      <c r="G32" s="12">
        <v>42</v>
      </c>
      <c r="H32" s="12">
        <v>38</v>
      </c>
      <c r="I32" s="12">
        <v>36</v>
      </c>
      <c r="J32" s="12">
        <v>36</v>
      </c>
      <c r="K32" s="12">
        <v>42</v>
      </c>
      <c r="L32" s="12">
        <v>34</v>
      </c>
      <c r="M32" s="12">
        <v>26</v>
      </c>
      <c r="N32" s="11">
        <f>SUM(nS[[#This Row],[JAN]:[DEZ]])</f>
        <v>445</v>
      </c>
    </row>
    <row r="33" spans="1:14" x14ac:dyDescent="0.2">
      <c r="A33" s="66" t="s">
        <v>211</v>
      </c>
      <c r="B33" s="67">
        <v>102</v>
      </c>
      <c r="C33" s="67">
        <v>90</v>
      </c>
      <c r="D33" s="67">
        <v>112</v>
      </c>
      <c r="E33" s="67">
        <v>121</v>
      </c>
      <c r="F33" s="67">
        <v>122</v>
      </c>
      <c r="G33" s="67">
        <v>96</v>
      </c>
      <c r="H33" s="67">
        <v>107</v>
      </c>
      <c r="I33" s="67">
        <v>115</v>
      </c>
      <c r="J33" s="67">
        <v>103</v>
      </c>
      <c r="K33" s="67">
        <v>140</v>
      </c>
      <c r="L33" s="67">
        <v>129</v>
      </c>
      <c r="M33" s="67">
        <v>125</v>
      </c>
      <c r="N33" s="68">
        <f>SUM(nS[[#This Row],[JAN]:[DEZ]])</f>
        <v>1362</v>
      </c>
    </row>
    <row r="34" spans="1:14" x14ac:dyDescent="0.2">
      <c r="A34" s="1" t="s">
        <v>165</v>
      </c>
      <c r="B34" s="12">
        <v>253</v>
      </c>
      <c r="C34" s="12">
        <v>245</v>
      </c>
      <c r="D34" s="12">
        <v>285</v>
      </c>
      <c r="E34" s="12">
        <v>313</v>
      </c>
      <c r="F34" s="12">
        <v>284</v>
      </c>
      <c r="G34" s="12">
        <v>217</v>
      </c>
      <c r="H34" s="12">
        <v>265</v>
      </c>
      <c r="I34" s="12">
        <v>242</v>
      </c>
      <c r="J34" s="12">
        <v>253</v>
      </c>
      <c r="K34" s="12">
        <v>270</v>
      </c>
      <c r="L34" s="12">
        <v>234</v>
      </c>
      <c r="M34" s="12">
        <v>229</v>
      </c>
      <c r="N34" s="11">
        <f>SUM(nS[[#This Row],[JAN]:[DEZ]])</f>
        <v>3090</v>
      </c>
    </row>
    <row r="35" spans="1:14" x14ac:dyDescent="0.2">
      <c r="A35" s="1" t="s">
        <v>166</v>
      </c>
      <c r="B35" s="12">
        <v>430</v>
      </c>
      <c r="C35" s="12">
        <v>392</v>
      </c>
      <c r="D35" s="12">
        <v>459</v>
      </c>
      <c r="E35" s="12">
        <v>466</v>
      </c>
      <c r="F35" s="12">
        <v>516</v>
      </c>
      <c r="G35" s="12">
        <v>441</v>
      </c>
      <c r="H35" s="12">
        <v>510</v>
      </c>
      <c r="I35" s="12">
        <v>494</v>
      </c>
      <c r="J35" s="12">
        <v>520</v>
      </c>
      <c r="K35" s="12">
        <v>542</v>
      </c>
      <c r="L35" s="12">
        <v>509</v>
      </c>
      <c r="M35" s="12">
        <v>450</v>
      </c>
      <c r="N35" s="11">
        <f>SUM(nS[[#This Row],[JAN]:[DEZ]])</f>
        <v>5729</v>
      </c>
    </row>
    <row r="36" spans="1:14" x14ac:dyDescent="0.2">
      <c r="A36" s="1" t="s">
        <v>167</v>
      </c>
      <c r="B36" s="12">
        <v>24</v>
      </c>
      <c r="C36" s="12">
        <v>18</v>
      </c>
      <c r="D36" s="12">
        <v>24</v>
      </c>
      <c r="E36" s="12">
        <v>30</v>
      </c>
      <c r="F36" s="12">
        <v>37</v>
      </c>
      <c r="G36" s="12">
        <v>28</v>
      </c>
      <c r="H36" s="12">
        <v>26</v>
      </c>
      <c r="I36" s="12">
        <v>21</v>
      </c>
      <c r="J36" s="12">
        <v>28</v>
      </c>
      <c r="K36" s="12">
        <v>18</v>
      </c>
      <c r="L36" s="12">
        <v>23</v>
      </c>
      <c r="M36" s="12">
        <v>32</v>
      </c>
      <c r="N36" s="11">
        <f>SUM(nS[[#This Row],[JAN]:[DEZ]])</f>
        <v>309</v>
      </c>
    </row>
    <row r="37" spans="1:14" ht="12" thickBot="1" x14ac:dyDescent="0.25">
      <c r="A37" s="1" t="s">
        <v>168</v>
      </c>
      <c r="B37" s="12">
        <v>206</v>
      </c>
      <c r="C37" s="12">
        <v>180</v>
      </c>
      <c r="D37" s="12">
        <v>185</v>
      </c>
      <c r="E37" s="12">
        <v>220</v>
      </c>
      <c r="F37" s="12">
        <v>231</v>
      </c>
      <c r="G37" s="12">
        <v>188</v>
      </c>
      <c r="H37" s="12">
        <v>218</v>
      </c>
      <c r="I37" s="12">
        <v>231</v>
      </c>
      <c r="J37" s="12">
        <v>234</v>
      </c>
      <c r="K37" s="12">
        <v>174</v>
      </c>
      <c r="L37" s="12">
        <v>205</v>
      </c>
      <c r="M37" s="12">
        <v>224</v>
      </c>
      <c r="N37" s="11">
        <f>SUM(nS[[#This Row],[JAN]:[DEZ]])</f>
        <v>2496</v>
      </c>
    </row>
    <row r="38" spans="1:14" ht="20.25" thickTop="1" thickBot="1" x14ac:dyDescent="0.25">
      <c r="A38" s="152" t="s">
        <v>163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4" ht="12" thickTop="1" x14ac:dyDescent="0.2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  <c r="N39" s="2" t="s">
        <v>241</v>
      </c>
    </row>
    <row r="40" spans="1:14" x14ac:dyDescent="0.2">
      <c r="A40" s="1" t="s">
        <v>13</v>
      </c>
      <c r="B40" s="12">
        <v>772</v>
      </c>
      <c r="C40" s="12">
        <v>690</v>
      </c>
      <c r="D40" s="12">
        <v>798</v>
      </c>
      <c r="E40" s="12">
        <v>861</v>
      </c>
      <c r="F40" s="12">
        <v>874</v>
      </c>
      <c r="G40" s="12">
        <v>732</v>
      </c>
      <c r="H40" s="12">
        <v>821</v>
      </c>
      <c r="I40" s="12">
        <v>828</v>
      </c>
      <c r="J40" s="12">
        <v>835</v>
      </c>
      <c r="K40" s="12">
        <v>881</v>
      </c>
      <c r="L40" s="12">
        <v>794</v>
      </c>
      <c r="M40" s="12">
        <v>735</v>
      </c>
      <c r="N40" s="11">
        <f>SUM(nSE[[#This Row],[JAN]:[DEZ]])</f>
        <v>9621</v>
      </c>
    </row>
    <row r="41" spans="1:14" x14ac:dyDescent="0.2">
      <c r="A41" s="1" t="s">
        <v>14</v>
      </c>
      <c r="B41" s="12">
        <v>130</v>
      </c>
      <c r="C41" s="12">
        <v>130</v>
      </c>
      <c r="D41" s="12">
        <v>139</v>
      </c>
      <c r="E41" s="12">
        <v>148</v>
      </c>
      <c r="F41" s="12">
        <v>127</v>
      </c>
      <c r="G41" s="12">
        <v>124</v>
      </c>
      <c r="H41" s="12">
        <v>125</v>
      </c>
      <c r="I41" s="12">
        <v>124</v>
      </c>
      <c r="J41" s="12">
        <v>107</v>
      </c>
      <c r="K41" s="12">
        <v>104</v>
      </c>
      <c r="L41" s="12">
        <v>112</v>
      </c>
      <c r="M41" s="12">
        <v>111</v>
      </c>
      <c r="N41" s="11">
        <f>SUM(nSE[[#This Row],[JAN]:[DEZ]])</f>
        <v>1481</v>
      </c>
    </row>
    <row r="42" spans="1:14" x14ac:dyDescent="0.2">
      <c r="A42" s="1" t="s">
        <v>15</v>
      </c>
      <c r="B42" s="12">
        <v>122</v>
      </c>
      <c r="C42" s="12">
        <v>131</v>
      </c>
      <c r="D42" s="12">
        <v>106</v>
      </c>
      <c r="E42" s="12">
        <v>115</v>
      </c>
      <c r="F42" s="12">
        <v>137</v>
      </c>
      <c r="G42" s="12">
        <v>119</v>
      </c>
      <c r="H42" s="12">
        <v>118</v>
      </c>
      <c r="I42" s="12">
        <v>140</v>
      </c>
      <c r="J42" s="12">
        <v>147</v>
      </c>
      <c r="K42" s="12">
        <v>155</v>
      </c>
      <c r="L42" s="12">
        <v>154</v>
      </c>
      <c r="M42" s="12">
        <v>131</v>
      </c>
      <c r="N42" s="11">
        <f>SUM(nSE[[#This Row],[JAN]:[DEZ]])</f>
        <v>1575</v>
      </c>
    </row>
    <row r="43" spans="1:14" x14ac:dyDescent="0.2">
      <c r="A43" s="1" t="s">
        <v>16</v>
      </c>
      <c r="B43" s="12">
        <v>60</v>
      </c>
      <c r="C43" s="12">
        <v>49</v>
      </c>
      <c r="D43" s="12">
        <v>58</v>
      </c>
      <c r="E43" s="12">
        <v>55</v>
      </c>
      <c r="F43" s="12">
        <v>70</v>
      </c>
      <c r="G43" s="12">
        <v>66</v>
      </c>
      <c r="H43" s="12">
        <v>67</v>
      </c>
      <c r="I43" s="12">
        <v>85</v>
      </c>
      <c r="J43" s="12">
        <v>74</v>
      </c>
      <c r="K43" s="12">
        <v>63</v>
      </c>
      <c r="L43" s="12">
        <v>44</v>
      </c>
      <c r="M43" s="12">
        <v>55</v>
      </c>
      <c r="N43" s="11">
        <f>SUM(nSE[[#This Row],[JAN]:[DEZ]])</f>
        <v>746</v>
      </c>
    </row>
    <row r="44" spans="1:14" x14ac:dyDescent="0.2">
      <c r="A44" s="1" t="s">
        <v>17</v>
      </c>
      <c r="B44" s="12">
        <v>6</v>
      </c>
      <c r="C44" s="12">
        <v>6</v>
      </c>
      <c r="D44" s="12">
        <v>7</v>
      </c>
      <c r="E44" s="12">
        <v>12</v>
      </c>
      <c r="F44" s="12">
        <v>8</v>
      </c>
      <c r="G44" s="12">
        <v>10</v>
      </c>
      <c r="H44" s="12">
        <v>9</v>
      </c>
      <c r="I44" s="12">
        <v>4</v>
      </c>
      <c r="J44" s="12">
        <v>3</v>
      </c>
      <c r="K44" s="12">
        <v>8</v>
      </c>
      <c r="L44" s="12">
        <v>8</v>
      </c>
      <c r="M44" s="12">
        <v>5</v>
      </c>
      <c r="N44" s="11">
        <f>SUM(nSE[[#This Row],[JAN]:[DEZ]])</f>
        <v>86</v>
      </c>
    </row>
    <row r="45" spans="1:14" x14ac:dyDescent="0.2">
      <c r="A45" s="66" t="s">
        <v>211</v>
      </c>
      <c r="B45" s="67">
        <v>31</v>
      </c>
      <c r="C45" s="67">
        <v>24</v>
      </c>
      <c r="D45" s="67">
        <v>33</v>
      </c>
      <c r="E45" s="67">
        <v>30</v>
      </c>
      <c r="F45" s="67">
        <v>26</v>
      </c>
      <c r="G45" s="67">
        <v>26</v>
      </c>
      <c r="H45" s="67">
        <v>35</v>
      </c>
      <c r="I45" s="67">
        <v>28</v>
      </c>
      <c r="J45" s="67">
        <v>29</v>
      </c>
      <c r="K45" s="67">
        <v>20</v>
      </c>
      <c r="L45" s="67">
        <v>28</v>
      </c>
      <c r="M45" s="67">
        <v>24</v>
      </c>
      <c r="N45" s="68">
        <f>SUM(nSE[[#This Row],[JAN]:[DEZ]])</f>
        <v>334</v>
      </c>
    </row>
    <row r="46" spans="1:14" x14ac:dyDescent="0.2">
      <c r="A46" s="1" t="s">
        <v>165</v>
      </c>
      <c r="B46" s="12">
        <v>76</v>
      </c>
      <c r="C46" s="12">
        <v>67</v>
      </c>
      <c r="D46" s="12">
        <v>91</v>
      </c>
      <c r="E46" s="12">
        <v>106</v>
      </c>
      <c r="F46" s="12">
        <v>86</v>
      </c>
      <c r="G46" s="12">
        <v>62</v>
      </c>
      <c r="H46" s="12">
        <v>81</v>
      </c>
      <c r="I46" s="12">
        <v>65</v>
      </c>
      <c r="J46" s="12">
        <v>78</v>
      </c>
      <c r="K46" s="12">
        <v>77</v>
      </c>
      <c r="L46" s="12">
        <v>62</v>
      </c>
      <c r="M46" s="12">
        <v>60</v>
      </c>
      <c r="N46" s="11">
        <f>SUM(nSE[[#This Row],[JAN]:[DEZ]])</f>
        <v>911</v>
      </c>
    </row>
    <row r="47" spans="1:14" x14ac:dyDescent="0.2">
      <c r="A47" s="1" t="s">
        <v>166</v>
      </c>
      <c r="B47" s="12">
        <v>297</v>
      </c>
      <c r="C47" s="12">
        <v>259</v>
      </c>
      <c r="D47" s="12">
        <v>331</v>
      </c>
      <c r="E47" s="12">
        <v>354</v>
      </c>
      <c r="F47" s="12">
        <v>373</v>
      </c>
      <c r="G47" s="12">
        <v>298</v>
      </c>
      <c r="H47" s="12">
        <v>356</v>
      </c>
      <c r="I47" s="12">
        <v>343</v>
      </c>
      <c r="J47" s="12">
        <v>366</v>
      </c>
      <c r="K47" s="12">
        <v>416</v>
      </c>
      <c r="L47" s="12">
        <v>350</v>
      </c>
      <c r="M47" s="12">
        <v>310</v>
      </c>
      <c r="N47" s="11">
        <f>SUM(nSE[[#This Row],[JAN]:[DEZ]])</f>
        <v>4053</v>
      </c>
    </row>
    <row r="48" spans="1:14" x14ac:dyDescent="0.2">
      <c r="A48" s="1" t="s">
        <v>167</v>
      </c>
      <c r="B48" s="12">
        <v>8</v>
      </c>
      <c r="C48" s="12">
        <v>4</v>
      </c>
      <c r="D48" s="12">
        <v>9</v>
      </c>
      <c r="E48" s="12">
        <v>10</v>
      </c>
      <c r="F48" s="12">
        <v>15</v>
      </c>
      <c r="G48" s="12">
        <v>6</v>
      </c>
      <c r="H48" s="12">
        <v>9</v>
      </c>
      <c r="I48" s="12">
        <v>6</v>
      </c>
      <c r="J48" s="12">
        <v>7</v>
      </c>
      <c r="K48" s="12">
        <v>4</v>
      </c>
      <c r="L48" s="12">
        <v>7</v>
      </c>
      <c r="M48" s="12">
        <v>11</v>
      </c>
      <c r="N48" s="11">
        <f>SUM(nSE[[#This Row],[JAN]:[DEZ]])</f>
        <v>96</v>
      </c>
    </row>
    <row r="49" spans="1:14" ht="12" thickBot="1" x14ac:dyDescent="0.25">
      <c r="A49" s="1" t="s">
        <v>168</v>
      </c>
      <c r="B49" s="12">
        <v>40</v>
      </c>
      <c r="C49" s="12">
        <v>20</v>
      </c>
      <c r="D49" s="12">
        <v>23</v>
      </c>
      <c r="E49" s="12">
        <v>31</v>
      </c>
      <c r="F49" s="12">
        <v>32</v>
      </c>
      <c r="G49" s="12">
        <v>21</v>
      </c>
      <c r="H49" s="12">
        <v>17</v>
      </c>
      <c r="I49" s="12">
        <v>31</v>
      </c>
      <c r="J49" s="12">
        <v>23</v>
      </c>
      <c r="K49" s="12">
        <v>32</v>
      </c>
      <c r="L49" s="12">
        <v>28</v>
      </c>
      <c r="M49" s="12">
        <v>27</v>
      </c>
      <c r="N49" s="11">
        <f>SUM(nSE[[#This Row],[JAN]:[DEZ]])</f>
        <v>325</v>
      </c>
    </row>
    <row r="50" spans="1:14" ht="20.25" thickTop="1" thickBot="1" x14ac:dyDescent="0.25">
      <c r="A50" s="152" t="s">
        <v>164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14" ht="12" thickTop="1" x14ac:dyDescent="0.2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1" t="s">
        <v>7</v>
      </c>
      <c r="I51" s="1" t="s">
        <v>8</v>
      </c>
      <c r="J51" s="1" t="s">
        <v>9</v>
      </c>
      <c r="K51" s="1" t="s">
        <v>10</v>
      </c>
      <c r="L51" s="1" t="s">
        <v>11</v>
      </c>
      <c r="M51" s="1" t="s">
        <v>12</v>
      </c>
      <c r="N51" s="2" t="s">
        <v>241</v>
      </c>
    </row>
    <row r="52" spans="1:14" x14ac:dyDescent="0.2">
      <c r="A52" s="1" t="s">
        <v>13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1">
        <f>SUM(nSI[[#This Row],[JAN]:[DEZ]])</f>
        <v>0</v>
      </c>
    </row>
    <row r="53" spans="1:14" x14ac:dyDescent="0.2">
      <c r="A53" s="1" t="s">
        <v>14</v>
      </c>
      <c r="B53" s="12">
        <v>16</v>
      </c>
      <c r="C53" s="12">
        <v>9</v>
      </c>
      <c r="D53" s="12">
        <v>18</v>
      </c>
      <c r="E53" s="12">
        <v>18</v>
      </c>
      <c r="F53" s="12">
        <v>11</v>
      </c>
      <c r="G53" s="12">
        <v>17</v>
      </c>
      <c r="H53" s="12">
        <v>10</v>
      </c>
      <c r="I53" s="12">
        <v>18</v>
      </c>
      <c r="J53" s="12">
        <v>12</v>
      </c>
      <c r="K53" s="12">
        <v>17</v>
      </c>
      <c r="L53" s="12">
        <v>17</v>
      </c>
      <c r="M53" s="12">
        <v>17</v>
      </c>
      <c r="N53" s="11">
        <f>SUM(nSI[[#This Row],[JAN]:[DEZ]])</f>
        <v>180</v>
      </c>
    </row>
    <row r="54" spans="1:14" x14ac:dyDescent="0.2">
      <c r="A54" s="1" t="s">
        <v>15</v>
      </c>
      <c r="B54" s="12">
        <v>21</v>
      </c>
      <c r="C54" s="12">
        <v>20</v>
      </c>
      <c r="D54" s="12">
        <v>23</v>
      </c>
      <c r="E54" s="12">
        <v>34</v>
      </c>
      <c r="F54" s="12">
        <v>24</v>
      </c>
      <c r="G54" s="12">
        <v>26</v>
      </c>
      <c r="H54" s="12">
        <v>27</v>
      </c>
      <c r="I54" s="12">
        <v>18</v>
      </c>
      <c r="J54" s="12">
        <v>27</v>
      </c>
      <c r="K54" s="12">
        <v>24</v>
      </c>
      <c r="L54" s="12">
        <v>23</v>
      </c>
      <c r="M54" s="12">
        <v>24</v>
      </c>
      <c r="N54" s="11">
        <f>SUM(nSI[[#This Row],[JAN]:[DEZ]])</f>
        <v>291</v>
      </c>
    </row>
    <row r="55" spans="1:14" x14ac:dyDescent="0.2">
      <c r="A55" s="1" t="s">
        <v>16</v>
      </c>
      <c r="B55" s="12">
        <v>13</v>
      </c>
      <c r="C55" s="12">
        <v>4</v>
      </c>
      <c r="D55" s="12">
        <v>9</v>
      </c>
      <c r="E55" s="12">
        <v>16</v>
      </c>
      <c r="F55" s="12">
        <v>14</v>
      </c>
      <c r="G55" s="12">
        <v>13</v>
      </c>
      <c r="H55" s="12">
        <v>13</v>
      </c>
      <c r="I55" s="12">
        <v>15</v>
      </c>
      <c r="J55" s="12">
        <v>16</v>
      </c>
      <c r="K55" s="12">
        <v>9</v>
      </c>
      <c r="L55" s="12">
        <v>14</v>
      </c>
      <c r="M55" s="12">
        <v>15</v>
      </c>
      <c r="N55" s="11">
        <f>SUM(nSI[[#This Row],[JAN]:[DEZ]])</f>
        <v>151</v>
      </c>
    </row>
    <row r="56" spans="1:14" x14ac:dyDescent="0.2">
      <c r="A56" s="1" t="s">
        <v>17</v>
      </c>
      <c r="B56" s="12">
        <v>27</v>
      </c>
      <c r="C56" s="12">
        <v>25</v>
      </c>
      <c r="D56" s="12">
        <v>29</v>
      </c>
      <c r="E56" s="12">
        <v>37</v>
      </c>
      <c r="F56" s="12">
        <v>34</v>
      </c>
      <c r="G56" s="12">
        <v>32</v>
      </c>
      <c r="H56" s="12">
        <v>29</v>
      </c>
      <c r="I56" s="12">
        <v>32</v>
      </c>
      <c r="J56" s="12">
        <v>33</v>
      </c>
      <c r="K56" s="12">
        <v>34</v>
      </c>
      <c r="L56" s="12">
        <v>26</v>
      </c>
      <c r="M56" s="12">
        <v>21</v>
      </c>
      <c r="N56" s="11">
        <f>SUM(nSI[[#This Row],[JAN]:[DEZ]])</f>
        <v>359</v>
      </c>
    </row>
    <row r="57" spans="1:14" x14ac:dyDescent="0.2">
      <c r="A57" s="66" t="s">
        <v>211</v>
      </c>
      <c r="B57" s="67">
        <v>71</v>
      </c>
      <c r="C57" s="67">
        <v>66</v>
      </c>
      <c r="D57" s="67">
        <v>79</v>
      </c>
      <c r="E57" s="67">
        <v>91</v>
      </c>
      <c r="F57" s="67">
        <v>96</v>
      </c>
      <c r="G57" s="67">
        <v>70</v>
      </c>
      <c r="H57" s="67">
        <v>72</v>
      </c>
      <c r="I57" s="67">
        <v>87</v>
      </c>
      <c r="J57" s="67">
        <v>74</v>
      </c>
      <c r="K57" s="67">
        <v>120</v>
      </c>
      <c r="L57" s="67">
        <v>101</v>
      </c>
      <c r="M57" s="67">
        <v>101</v>
      </c>
      <c r="N57" s="68">
        <f>SUM(nSI[[#This Row],[JAN]:[DEZ]])</f>
        <v>1028</v>
      </c>
    </row>
    <row r="58" spans="1:14" x14ac:dyDescent="0.2">
      <c r="A58" s="1" t="s">
        <v>165</v>
      </c>
      <c r="B58" s="12">
        <v>177</v>
      </c>
      <c r="C58" s="12">
        <v>178</v>
      </c>
      <c r="D58" s="12">
        <v>194</v>
      </c>
      <c r="E58" s="12">
        <v>207</v>
      </c>
      <c r="F58" s="12">
        <v>198</v>
      </c>
      <c r="G58" s="12">
        <v>155</v>
      </c>
      <c r="H58" s="12">
        <v>184</v>
      </c>
      <c r="I58" s="12">
        <v>177</v>
      </c>
      <c r="J58" s="12">
        <v>175</v>
      </c>
      <c r="K58" s="12">
        <v>193</v>
      </c>
      <c r="L58" s="12">
        <v>172</v>
      </c>
      <c r="M58" s="12">
        <v>169</v>
      </c>
      <c r="N58" s="11">
        <f>SUM(nSI[[#This Row],[JAN]:[DEZ]])</f>
        <v>2179</v>
      </c>
    </row>
    <row r="59" spans="1:14" x14ac:dyDescent="0.2">
      <c r="A59" s="1" t="s">
        <v>166</v>
      </c>
      <c r="B59" s="12">
        <v>133</v>
      </c>
      <c r="C59" s="12">
        <v>133</v>
      </c>
      <c r="D59" s="12">
        <v>128</v>
      </c>
      <c r="E59" s="12">
        <v>112</v>
      </c>
      <c r="F59" s="12">
        <v>143</v>
      </c>
      <c r="G59" s="12">
        <v>143</v>
      </c>
      <c r="H59" s="12">
        <v>154</v>
      </c>
      <c r="I59" s="12">
        <v>151</v>
      </c>
      <c r="J59" s="12">
        <v>154</v>
      </c>
      <c r="K59" s="12">
        <v>126</v>
      </c>
      <c r="L59" s="12">
        <v>159</v>
      </c>
      <c r="M59" s="12">
        <v>140</v>
      </c>
      <c r="N59" s="11">
        <f>SUM(nSI[[#This Row],[JAN]:[DEZ]])</f>
        <v>1676</v>
      </c>
    </row>
    <row r="60" spans="1:14" x14ac:dyDescent="0.2">
      <c r="A60" s="1" t="s">
        <v>167</v>
      </c>
      <c r="B60" s="12">
        <v>16</v>
      </c>
      <c r="C60" s="12">
        <v>14</v>
      </c>
      <c r="D60" s="12">
        <v>15</v>
      </c>
      <c r="E60" s="12">
        <v>20</v>
      </c>
      <c r="F60" s="12">
        <v>22</v>
      </c>
      <c r="G60" s="12">
        <v>22</v>
      </c>
      <c r="H60" s="12">
        <v>17</v>
      </c>
      <c r="I60" s="12">
        <v>15</v>
      </c>
      <c r="J60" s="12">
        <v>21</v>
      </c>
      <c r="K60" s="12">
        <v>14</v>
      </c>
      <c r="L60" s="12">
        <v>16</v>
      </c>
      <c r="M60" s="12">
        <v>21</v>
      </c>
      <c r="N60" s="11">
        <f>SUM(nSI[[#This Row],[JAN]:[DEZ]])</f>
        <v>213</v>
      </c>
    </row>
    <row r="61" spans="1:14" ht="12" thickBot="1" x14ac:dyDescent="0.25">
      <c r="A61" s="1" t="s">
        <v>168</v>
      </c>
      <c r="B61" s="12">
        <v>166</v>
      </c>
      <c r="C61" s="12">
        <v>160</v>
      </c>
      <c r="D61" s="12">
        <v>162</v>
      </c>
      <c r="E61" s="12">
        <v>189</v>
      </c>
      <c r="F61" s="12">
        <v>199</v>
      </c>
      <c r="G61" s="12">
        <v>167</v>
      </c>
      <c r="H61" s="12">
        <v>201</v>
      </c>
      <c r="I61" s="12">
        <v>200</v>
      </c>
      <c r="J61" s="12">
        <v>211</v>
      </c>
      <c r="K61" s="12">
        <v>142</v>
      </c>
      <c r="L61" s="12">
        <v>177</v>
      </c>
      <c r="M61" s="12">
        <v>197</v>
      </c>
      <c r="N61" s="11">
        <f>SUM(nSI[[#This Row],[JAN]:[DEZ]])</f>
        <v>2171</v>
      </c>
    </row>
    <row r="62" spans="1:14" ht="20.25" thickTop="1" thickBot="1" x14ac:dyDescent="0.25">
      <c r="A62" s="152" t="s">
        <v>18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</row>
    <row r="63" spans="1:14" ht="12" thickTop="1" x14ac:dyDescent="0.2">
      <c r="A63" s="1" t="s">
        <v>0</v>
      </c>
      <c r="B63" s="1" t="s">
        <v>1</v>
      </c>
      <c r="C63" s="1" t="s">
        <v>2</v>
      </c>
      <c r="D63" s="1" t="s">
        <v>3</v>
      </c>
      <c r="E63" s="1" t="s">
        <v>4</v>
      </c>
      <c r="F63" s="1" t="s">
        <v>5</v>
      </c>
      <c r="G63" s="1" t="s">
        <v>6</v>
      </c>
      <c r="H63" s="1" t="s">
        <v>7</v>
      </c>
      <c r="I63" s="1" t="s">
        <v>8</v>
      </c>
      <c r="J63" s="1" t="s">
        <v>9</v>
      </c>
      <c r="K63" s="1" t="s">
        <v>10</v>
      </c>
      <c r="L63" s="1" t="s">
        <v>11</v>
      </c>
      <c r="M63" s="1" t="s">
        <v>12</v>
      </c>
      <c r="N63" s="2" t="s">
        <v>241</v>
      </c>
    </row>
    <row r="64" spans="1:14" x14ac:dyDescent="0.2">
      <c r="A64" s="1" t="s">
        <v>13</v>
      </c>
      <c r="B64" s="12">
        <v>5689</v>
      </c>
      <c r="C64" s="12">
        <v>5070</v>
      </c>
      <c r="D64" s="12">
        <v>5946</v>
      </c>
      <c r="E64" s="12">
        <v>5814</v>
      </c>
      <c r="F64" s="12">
        <v>6237</v>
      </c>
      <c r="G64" s="12">
        <v>5433</v>
      </c>
      <c r="H64" s="12">
        <v>6320</v>
      </c>
      <c r="I64" s="12">
        <v>6230</v>
      </c>
      <c r="J64" s="12">
        <v>6047</v>
      </c>
      <c r="K64" s="12">
        <v>6506</v>
      </c>
      <c r="L64" s="12">
        <v>6138</v>
      </c>
      <c r="M64" s="12">
        <v>6004</v>
      </c>
      <c r="N64" s="11">
        <f>SUM(LeitoDia[[#This Row],[JAN]:[DEZ]])</f>
        <v>71434</v>
      </c>
    </row>
    <row r="65" spans="1:14" x14ac:dyDescent="0.2">
      <c r="A65" s="1" t="s">
        <v>14</v>
      </c>
      <c r="B65" s="12">
        <v>1147</v>
      </c>
      <c r="C65" s="12">
        <v>1054</v>
      </c>
      <c r="D65" s="12">
        <v>1154</v>
      </c>
      <c r="E65" s="12">
        <v>1153</v>
      </c>
      <c r="F65" s="12">
        <v>1198</v>
      </c>
      <c r="G65" s="12">
        <v>1142</v>
      </c>
      <c r="H65" s="12">
        <v>1192</v>
      </c>
      <c r="I65" s="12">
        <v>1178</v>
      </c>
      <c r="J65" s="12">
        <v>1142</v>
      </c>
      <c r="K65" s="12">
        <v>1187</v>
      </c>
      <c r="L65" s="12">
        <v>1138</v>
      </c>
      <c r="M65" s="12">
        <v>1181</v>
      </c>
      <c r="N65" s="11">
        <f>SUM(LeitoDia[[#This Row],[JAN]:[DEZ]])</f>
        <v>13866</v>
      </c>
    </row>
    <row r="66" spans="1:14" x14ac:dyDescent="0.2">
      <c r="A66" s="1" t="s">
        <v>15</v>
      </c>
      <c r="B66" s="12">
        <v>1201</v>
      </c>
      <c r="C66" s="12">
        <v>1092</v>
      </c>
      <c r="D66" s="12">
        <v>1209</v>
      </c>
      <c r="E66" s="12">
        <v>1170</v>
      </c>
      <c r="F66" s="12">
        <v>1222</v>
      </c>
      <c r="G66" s="12">
        <v>1170</v>
      </c>
      <c r="H66" s="12">
        <v>1209</v>
      </c>
      <c r="I66" s="12">
        <v>1205</v>
      </c>
      <c r="J66" s="12">
        <v>1151</v>
      </c>
      <c r="K66" s="12">
        <v>1199</v>
      </c>
      <c r="L66" s="12">
        <v>1170</v>
      </c>
      <c r="M66" s="12">
        <v>1209</v>
      </c>
      <c r="N66" s="11">
        <f>SUM(LeitoDia[[#This Row],[JAN]:[DEZ]])</f>
        <v>14207</v>
      </c>
    </row>
    <row r="67" spans="1:14" x14ac:dyDescent="0.2">
      <c r="A67" s="1" t="s">
        <v>16</v>
      </c>
      <c r="B67" s="12">
        <v>1271</v>
      </c>
      <c r="C67" s="12">
        <v>1148</v>
      </c>
      <c r="D67" s="12">
        <v>1271</v>
      </c>
      <c r="E67" s="12">
        <v>1230</v>
      </c>
      <c r="F67" s="12">
        <v>1271</v>
      </c>
      <c r="G67" s="12">
        <v>1230</v>
      </c>
      <c r="H67" s="12">
        <v>1266</v>
      </c>
      <c r="I67" s="12">
        <v>1270</v>
      </c>
      <c r="J67" s="12">
        <v>1228</v>
      </c>
      <c r="K67" s="12">
        <v>1271</v>
      </c>
      <c r="L67" s="12">
        <v>1230</v>
      </c>
      <c r="M67" s="12">
        <v>1271</v>
      </c>
      <c r="N67" s="11">
        <f>SUM(LeitoDia[[#This Row],[JAN]:[DEZ]])</f>
        <v>14957</v>
      </c>
    </row>
    <row r="68" spans="1:14" x14ac:dyDescent="0.2">
      <c r="A68" s="1" t="s">
        <v>17</v>
      </c>
      <c r="B68" s="12">
        <v>310</v>
      </c>
      <c r="C68" s="12">
        <v>280</v>
      </c>
      <c r="D68" s="12">
        <v>311</v>
      </c>
      <c r="E68" s="12">
        <v>301</v>
      </c>
      <c r="F68" s="12">
        <v>310</v>
      </c>
      <c r="G68" s="12">
        <v>300</v>
      </c>
      <c r="H68" s="12">
        <v>384</v>
      </c>
      <c r="I68" s="12">
        <v>341</v>
      </c>
      <c r="J68" s="12">
        <v>330</v>
      </c>
      <c r="K68" s="12">
        <v>341</v>
      </c>
      <c r="L68" s="12">
        <v>330</v>
      </c>
      <c r="M68" s="12">
        <v>341</v>
      </c>
      <c r="N68" s="11">
        <f>SUM(LeitoDia[[#This Row],[JAN]:[DEZ]])</f>
        <v>3879</v>
      </c>
    </row>
    <row r="69" spans="1:14" x14ac:dyDescent="0.2">
      <c r="A69" s="66" t="s">
        <v>211</v>
      </c>
      <c r="B69" s="67">
        <v>143</v>
      </c>
      <c r="C69" s="67">
        <v>138</v>
      </c>
      <c r="D69" s="67">
        <v>161</v>
      </c>
      <c r="E69" s="67">
        <v>162</v>
      </c>
      <c r="F69" s="67">
        <v>177</v>
      </c>
      <c r="G69" s="67">
        <v>136</v>
      </c>
      <c r="H69" s="67">
        <v>149</v>
      </c>
      <c r="I69" s="67">
        <v>180</v>
      </c>
      <c r="J69" s="67">
        <v>164</v>
      </c>
      <c r="K69" s="67">
        <v>200</v>
      </c>
      <c r="L69" s="67">
        <v>208</v>
      </c>
      <c r="M69" s="67">
        <v>228</v>
      </c>
      <c r="N69" s="68">
        <f>SUM(LeitoDia[[#This Row],[JAN]:[DEZ]])</f>
        <v>2046</v>
      </c>
    </row>
    <row r="70" spans="1:14" x14ac:dyDescent="0.2">
      <c r="A70" s="1" t="s">
        <v>165</v>
      </c>
      <c r="B70" s="12">
        <v>395</v>
      </c>
      <c r="C70" s="12">
        <v>338</v>
      </c>
      <c r="D70" s="12">
        <v>441</v>
      </c>
      <c r="E70" s="12">
        <v>479</v>
      </c>
      <c r="F70" s="12">
        <v>466</v>
      </c>
      <c r="G70" s="12">
        <v>357</v>
      </c>
      <c r="H70" s="12">
        <v>446</v>
      </c>
      <c r="I70" s="12">
        <v>386</v>
      </c>
      <c r="J70" s="12">
        <v>411</v>
      </c>
      <c r="K70" s="12">
        <v>459</v>
      </c>
      <c r="L70" s="12">
        <v>408</v>
      </c>
      <c r="M70" s="12">
        <v>371</v>
      </c>
      <c r="N70" s="11">
        <f>SUM(LeitoDia[[#This Row],[JAN]:[DEZ]])</f>
        <v>4957</v>
      </c>
    </row>
    <row r="71" spans="1:14" x14ac:dyDescent="0.2">
      <c r="A71" s="1" t="s">
        <v>166</v>
      </c>
      <c r="B71" s="12">
        <v>1618</v>
      </c>
      <c r="C71" s="12">
        <v>1404</v>
      </c>
      <c r="D71" s="12">
        <v>1787</v>
      </c>
      <c r="E71" s="12">
        <v>1770</v>
      </c>
      <c r="F71" s="12">
        <v>1972</v>
      </c>
      <c r="G71" s="12">
        <v>1509</v>
      </c>
      <c r="H71" s="12">
        <v>2026</v>
      </c>
      <c r="I71" s="12">
        <v>1952</v>
      </c>
      <c r="J71" s="12">
        <v>1888</v>
      </c>
      <c r="K71" s="12">
        <v>2101</v>
      </c>
      <c r="L71" s="12">
        <v>1863</v>
      </c>
      <c r="M71" s="12">
        <v>1628</v>
      </c>
      <c r="N71" s="11">
        <f>SUM(LeitoDia[[#This Row],[JAN]:[DEZ]])</f>
        <v>21518</v>
      </c>
    </row>
    <row r="72" spans="1:14" x14ac:dyDescent="0.2">
      <c r="A72" s="1" t="s">
        <v>167</v>
      </c>
      <c r="B72" s="12">
        <v>155</v>
      </c>
      <c r="C72" s="12">
        <v>141</v>
      </c>
      <c r="D72" s="12">
        <v>156</v>
      </c>
      <c r="E72" s="12">
        <v>150</v>
      </c>
      <c r="F72" s="12">
        <v>155</v>
      </c>
      <c r="G72" s="12">
        <v>151</v>
      </c>
      <c r="H72" s="12">
        <v>156</v>
      </c>
      <c r="I72" s="12">
        <v>157</v>
      </c>
      <c r="J72" s="12">
        <v>151</v>
      </c>
      <c r="K72" s="12">
        <v>155</v>
      </c>
      <c r="L72" s="12">
        <v>150</v>
      </c>
      <c r="M72" s="12">
        <v>158</v>
      </c>
      <c r="N72" s="11">
        <f>SUM(LeitoDia[[#This Row],[JAN]:[DEZ]])</f>
        <v>1835</v>
      </c>
    </row>
    <row r="73" spans="1:14" ht="12" thickBot="1" x14ac:dyDescent="0.25">
      <c r="A73" s="1" t="s">
        <v>168</v>
      </c>
      <c r="B73" s="12">
        <v>290</v>
      </c>
      <c r="C73" s="12">
        <v>279</v>
      </c>
      <c r="D73" s="12">
        <v>284</v>
      </c>
      <c r="E73" s="12">
        <v>316</v>
      </c>
      <c r="F73" s="12">
        <v>330</v>
      </c>
      <c r="G73" s="12">
        <v>285</v>
      </c>
      <c r="H73" s="12">
        <v>343</v>
      </c>
      <c r="I73" s="12">
        <v>366</v>
      </c>
      <c r="J73" s="12">
        <v>357</v>
      </c>
      <c r="K73" s="12">
        <v>331</v>
      </c>
      <c r="L73" s="12">
        <v>353</v>
      </c>
      <c r="M73" s="12">
        <v>359</v>
      </c>
      <c r="N73" s="11">
        <f>SUM(LeitoDia[[#This Row],[JAN]:[DEZ]])</f>
        <v>3893</v>
      </c>
    </row>
    <row r="74" spans="1:14" ht="20.25" thickTop="1" thickBot="1" x14ac:dyDescent="0.25">
      <c r="A74" s="150" t="s">
        <v>362</v>
      </c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</row>
    <row r="75" spans="1:14" ht="12" thickTop="1" x14ac:dyDescent="0.2">
      <c r="A75" s="1" t="s">
        <v>0</v>
      </c>
      <c r="B75" s="1" t="s">
        <v>1</v>
      </c>
      <c r="C75" s="1" t="s">
        <v>2</v>
      </c>
      <c r="D75" s="1" t="s">
        <v>3</v>
      </c>
      <c r="E75" s="1" t="s">
        <v>4</v>
      </c>
      <c r="F75" s="1" t="s">
        <v>5</v>
      </c>
      <c r="G75" s="1" t="s">
        <v>6</v>
      </c>
      <c r="H75" s="1" t="s">
        <v>7</v>
      </c>
      <c r="I75" s="1" t="s">
        <v>8</v>
      </c>
      <c r="J75" s="1" t="s">
        <v>9</v>
      </c>
      <c r="K75" s="1" t="s">
        <v>10</v>
      </c>
      <c r="L75" s="1" t="s">
        <v>11</v>
      </c>
      <c r="M75" s="1" t="s">
        <v>12</v>
      </c>
      <c r="N75" s="2" t="s">
        <v>241</v>
      </c>
    </row>
    <row r="76" spans="1:14" x14ac:dyDescent="0.2">
      <c r="A76" s="1" t="s">
        <v>13</v>
      </c>
      <c r="B76" s="12">
        <f>SUM(B77:B80)</f>
        <v>3751</v>
      </c>
      <c r="C76" s="12">
        <f t="shared" ref="C76:G76" si="0">SUM(C77:C80)</f>
        <v>3388</v>
      </c>
      <c r="D76" s="12">
        <f t="shared" si="0"/>
        <v>3751</v>
      </c>
      <c r="E76" s="12">
        <f t="shared" si="0"/>
        <v>3630</v>
      </c>
      <c r="F76" s="12">
        <f t="shared" si="0"/>
        <v>3751</v>
      </c>
      <c r="G76" s="12">
        <f t="shared" si="0"/>
        <v>3630</v>
      </c>
      <c r="H76" s="12">
        <f t="shared" ref="H76:I76" si="1">SUM(H77:H80)</f>
        <v>3751</v>
      </c>
      <c r="I76" s="12">
        <f t="shared" si="1"/>
        <v>3751</v>
      </c>
      <c r="J76" s="12">
        <v>3630</v>
      </c>
      <c r="K76" s="12">
        <v>3782</v>
      </c>
      <c r="L76" s="12">
        <v>3660</v>
      </c>
      <c r="M76" s="12">
        <v>3782</v>
      </c>
      <c r="N76" s="11">
        <f>SUM(LeitoInstDia113[[#This Row],[JAN]:[DEZ]])</f>
        <v>44257</v>
      </c>
    </row>
    <row r="77" spans="1:14" x14ac:dyDescent="0.2">
      <c r="A77" s="1" t="s">
        <v>14</v>
      </c>
      <c r="B77" s="12">
        <v>1147</v>
      </c>
      <c r="C77" s="12">
        <v>1036</v>
      </c>
      <c r="D77" s="12">
        <v>1147</v>
      </c>
      <c r="E77" s="12">
        <v>1110</v>
      </c>
      <c r="F77" s="12">
        <v>1147</v>
      </c>
      <c r="G77" s="12">
        <v>1110</v>
      </c>
      <c r="H77" s="12">
        <v>1147</v>
      </c>
      <c r="I77" s="12">
        <v>1147</v>
      </c>
      <c r="J77" s="12">
        <v>1110</v>
      </c>
      <c r="K77" s="12">
        <f>37*31</f>
        <v>1147</v>
      </c>
      <c r="L77" s="12">
        <f>37*30</f>
        <v>1110</v>
      </c>
      <c r="M77" s="12">
        <f>37*31</f>
        <v>1147</v>
      </c>
      <c r="N77" s="11">
        <f>SUM(LeitoInstDia113[[#This Row],[JAN]:[DEZ]])</f>
        <v>13505</v>
      </c>
    </row>
    <row r="78" spans="1:14" x14ac:dyDescent="0.2">
      <c r="A78" s="1" t="s">
        <v>15</v>
      </c>
      <c r="B78" s="12">
        <v>1147</v>
      </c>
      <c r="C78" s="12">
        <v>1036</v>
      </c>
      <c r="D78" s="12">
        <v>1147</v>
      </c>
      <c r="E78" s="12">
        <v>1110</v>
      </c>
      <c r="F78" s="12">
        <v>1147</v>
      </c>
      <c r="G78" s="12">
        <v>1110</v>
      </c>
      <c r="H78" s="12">
        <v>1147</v>
      </c>
      <c r="I78" s="12">
        <v>1147</v>
      </c>
      <c r="J78" s="12">
        <v>1110</v>
      </c>
      <c r="K78" s="12">
        <v>1147</v>
      </c>
      <c r="L78" s="12">
        <v>1110</v>
      </c>
      <c r="M78" s="12">
        <v>1147</v>
      </c>
      <c r="N78" s="11">
        <f>SUM(LeitoInstDia113[[#This Row],[JAN]:[DEZ]])</f>
        <v>13505</v>
      </c>
    </row>
    <row r="79" spans="1:14" x14ac:dyDescent="0.2">
      <c r="A79" s="1" t="s">
        <v>16</v>
      </c>
      <c r="B79" s="12">
        <v>1147</v>
      </c>
      <c r="C79" s="12">
        <v>1036</v>
      </c>
      <c r="D79" s="12">
        <v>1147</v>
      </c>
      <c r="E79" s="12">
        <v>1110</v>
      </c>
      <c r="F79" s="12">
        <v>1147</v>
      </c>
      <c r="G79" s="12">
        <v>1110</v>
      </c>
      <c r="H79" s="12">
        <v>1147</v>
      </c>
      <c r="I79" s="12">
        <v>1147</v>
      </c>
      <c r="J79" s="12">
        <v>1110</v>
      </c>
      <c r="K79" s="12">
        <f>38*31</f>
        <v>1178</v>
      </c>
      <c r="L79" s="12">
        <f>38*30</f>
        <v>1140</v>
      </c>
      <c r="M79" s="12">
        <f>38*31</f>
        <v>1178</v>
      </c>
      <c r="N79" s="11">
        <f>SUM(LeitoInstDia113[[#This Row],[JAN]:[DEZ]])</f>
        <v>13597</v>
      </c>
    </row>
    <row r="80" spans="1:14" x14ac:dyDescent="0.2">
      <c r="A80" s="1" t="s">
        <v>17</v>
      </c>
      <c r="B80" s="12">
        <f>10*B$1</f>
        <v>310</v>
      </c>
      <c r="C80" s="12">
        <f t="shared" ref="C80:I80" si="2">10*C$1</f>
        <v>280</v>
      </c>
      <c r="D80" s="12">
        <f t="shared" si="2"/>
        <v>310</v>
      </c>
      <c r="E80" s="12">
        <f t="shared" si="2"/>
        <v>300</v>
      </c>
      <c r="F80" s="12">
        <f t="shared" si="2"/>
        <v>310</v>
      </c>
      <c r="G80" s="12">
        <f t="shared" si="2"/>
        <v>300</v>
      </c>
      <c r="H80" s="12">
        <f t="shared" si="2"/>
        <v>310</v>
      </c>
      <c r="I80" s="12">
        <f t="shared" si="2"/>
        <v>310</v>
      </c>
      <c r="J80" s="12">
        <v>300</v>
      </c>
      <c r="K80" s="12">
        <v>310</v>
      </c>
      <c r="L80" s="12">
        <v>300</v>
      </c>
      <c r="M80" s="12">
        <v>310</v>
      </c>
      <c r="N80" s="11">
        <f>SUM(LeitoInstDia113[[#This Row],[JAN]:[DEZ]])</f>
        <v>3650</v>
      </c>
    </row>
    <row r="81" spans="1:14" x14ac:dyDescent="0.2">
      <c r="A81" s="66" t="s">
        <v>211</v>
      </c>
      <c r="B81" s="67">
        <v>0</v>
      </c>
      <c r="C81" s="67">
        <v>0</v>
      </c>
      <c r="D81" s="67">
        <v>0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8">
        <f>SUM(LeitoInstDia113[[#This Row],[JAN]:[DEZ]])</f>
        <v>0</v>
      </c>
    </row>
    <row r="82" spans="1:14" x14ac:dyDescent="0.2">
      <c r="A82" s="1" t="s">
        <v>165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1">
        <f>SUM(LeitoInstDia113[[#This Row],[JAN]:[DEZ]])</f>
        <v>0</v>
      </c>
    </row>
    <row r="83" spans="1:14" x14ac:dyDescent="0.2">
      <c r="A83" s="1" t="s">
        <v>166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1">
        <f>SUM(LeitoInstDia113[[#This Row],[JAN]:[DEZ]])</f>
        <v>0</v>
      </c>
    </row>
    <row r="84" spans="1:14" x14ac:dyDescent="0.2">
      <c r="A84" s="1" t="s">
        <v>167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1">
        <f>SUM(LeitoInstDia113[[#This Row],[JAN]:[DEZ]])</f>
        <v>0</v>
      </c>
    </row>
    <row r="85" spans="1:14" x14ac:dyDescent="0.2">
      <c r="A85" s="1" t="s">
        <v>168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1">
        <f>SUM(LeitoInstDia113[[#This Row],[JAN]:[DEZ]])</f>
        <v>0</v>
      </c>
    </row>
    <row r="86" spans="1:14" ht="12" thickBot="1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1"/>
    </row>
    <row r="87" spans="1:14" ht="20.25" thickTop="1" thickBot="1" x14ac:dyDescent="0.25">
      <c r="A87" s="149" t="s">
        <v>19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</row>
    <row r="88" spans="1:14" ht="12" thickTop="1" x14ac:dyDescent="0.2">
      <c r="A88" s="1" t="s">
        <v>0</v>
      </c>
      <c r="B88" s="1" t="s">
        <v>1</v>
      </c>
      <c r="C88" s="1" t="s">
        <v>2</v>
      </c>
      <c r="D88" s="1" t="s">
        <v>3</v>
      </c>
      <c r="E88" s="1" t="s">
        <v>4</v>
      </c>
      <c r="F88" s="1" t="s">
        <v>5</v>
      </c>
      <c r="G88" s="1" t="s">
        <v>6</v>
      </c>
      <c r="H88" s="1" t="s">
        <v>7</v>
      </c>
      <c r="I88" s="1" t="s">
        <v>8</v>
      </c>
      <c r="J88" s="1" t="s">
        <v>9</v>
      </c>
      <c r="K88" s="1" t="s">
        <v>10</v>
      </c>
      <c r="L88" s="1" t="s">
        <v>11</v>
      </c>
      <c r="M88" s="1" t="s">
        <v>12</v>
      </c>
      <c r="N88" s="2" t="s">
        <v>241</v>
      </c>
    </row>
    <row r="89" spans="1:14" x14ac:dyDescent="0.2">
      <c r="A89" s="1" t="s">
        <v>13</v>
      </c>
      <c r="B89" s="13">
        <f t="shared" ref="B89:N89" si="3">IF(B$1=0,0,B4/B$1)</f>
        <v>182.87096774193549</v>
      </c>
      <c r="C89" s="13">
        <f t="shared" si="3"/>
        <v>180.39285714285714</v>
      </c>
      <c r="D89" s="13">
        <f t="shared" si="3"/>
        <v>191.12903225806451</v>
      </c>
      <c r="E89" s="13">
        <f t="shared" si="3"/>
        <v>193.26666666666668</v>
      </c>
      <c r="F89" s="13">
        <f t="shared" si="3"/>
        <v>200.25806451612902</v>
      </c>
      <c r="G89" s="13">
        <f t="shared" si="3"/>
        <v>180.6</v>
      </c>
      <c r="H89" s="13">
        <f t="shared" si="3"/>
        <v>203.41935483870967</v>
      </c>
      <c r="I89" s="13">
        <f t="shared" si="3"/>
        <v>200.45161290322579</v>
      </c>
      <c r="J89" s="13">
        <f t="shared" si="3"/>
        <v>200.83333333333334</v>
      </c>
      <c r="K89" s="13">
        <f t="shared" si="3"/>
        <v>209.16129032258064</v>
      </c>
      <c r="L89" s="13">
        <f t="shared" si="3"/>
        <v>203.9</v>
      </c>
      <c r="M89" s="13">
        <f t="shared" si="3"/>
        <v>193.25806451612902</v>
      </c>
      <c r="N89" s="27">
        <f t="shared" si="3"/>
        <v>195.0849315068493</v>
      </c>
    </row>
    <row r="90" spans="1:14" x14ac:dyDescent="0.2">
      <c r="A90" s="1" t="s">
        <v>14</v>
      </c>
      <c r="B90" s="13">
        <f t="shared" ref="B90:N90" si="4">IF(B$1=0,0,B5/B$1)</f>
        <v>30.967741935483872</v>
      </c>
      <c r="C90" s="13">
        <f t="shared" si="4"/>
        <v>30.892857142857142</v>
      </c>
      <c r="D90" s="13">
        <f t="shared" si="4"/>
        <v>32.096774193548384</v>
      </c>
      <c r="E90" s="13">
        <f t="shared" si="4"/>
        <v>33.5</v>
      </c>
      <c r="F90" s="13">
        <f t="shared" si="4"/>
        <v>32.70967741935484</v>
      </c>
      <c r="G90" s="13">
        <f t="shared" si="4"/>
        <v>32.366666666666667</v>
      </c>
      <c r="H90" s="13">
        <f t="shared" si="4"/>
        <v>33.58064516129032</v>
      </c>
      <c r="I90" s="13">
        <f t="shared" si="4"/>
        <v>33.41935483870968</v>
      </c>
      <c r="J90" s="13">
        <f t="shared" si="4"/>
        <v>32.466666666666669</v>
      </c>
      <c r="K90" s="13">
        <f t="shared" si="4"/>
        <v>33.161290322580648</v>
      </c>
      <c r="L90" s="13">
        <f t="shared" si="4"/>
        <v>34.299999999999997</v>
      </c>
      <c r="M90" s="13">
        <f t="shared" si="4"/>
        <v>33.258064516129032</v>
      </c>
      <c r="N90" s="27">
        <f t="shared" si="4"/>
        <v>32.736986301369861</v>
      </c>
    </row>
    <row r="91" spans="1:14" x14ac:dyDescent="0.2">
      <c r="A91" s="1" t="s">
        <v>15</v>
      </c>
      <c r="B91" s="13">
        <f t="shared" ref="B91:N91" si="5">IF(B$1=0,0,B6/B$1)</f>
        <v>30.774193548387096</v>
      </c>
      <c r="C91" s="13">
        <f t="shared" si="5"/>
        <v>31.785714285714285</v>
      </c>
      <c r="D91" s="13">
        <f t="shared" si="5"/>
        <v>32.354838709677416</v>
      </c>
      <c r="E91" s="13">
        <f t="shared" si="5"/>
        <v>30.833333333333332</v>
      </c>
      <c r="F91" s="13">
        <f t="shared" si="5"/>
        <v>30.258064516129032</v>
      </c>
      <c r="G91" s="13">
        <f t="shared" si="5"/>
        <v>30.466666666666665</v>
      </c>
      <c r="H91" s="13">
        <f t="shared" si="5"/>
        <v>32.58064516129032</v>
      </c>
      <c r="I91" s="13">
        <f t="shared" si="5"/>
        <v>31.258064516129032</v>
      </c>
      <c r="J91" s="13">
        <f t="shared" si="5"/>
        <v>31.466666666666665</v>
      </c>
      <c r="K91" s="13">
        <f t="shared" si="5"/>
        <v>32.774193548387096</v>
      </c>
      <c r="L91" s="13">
        <f t="shared" si="5"/>
        <v>33.333333333333336</v>
      </c>
      <c r="M91" s="13">
        <f t="shared" si="5"/>
        <v>34.87096774193548</v>
      </c>
      <c r="N91" s="27">
        <f t="shared" si="5"/>
        <v>31.901369863013699</v>
      </c>
    </row>
    <row r="92" spans="1:14" x14ac:dyDescent="0.2">
      <c r="A92" s="1" t="s">
        <v>16</v>
      </c>
      <c r="B92" s="13">
        <f t="shared" ref="B92:N92" si="6">IF(B$1=0,0,B7/B$1)</f>
        <v>36.516129032258064</v>
      </c>
      <c r="C92" s="13">
        <f t="shared" si="6"/>
        <v>36.5</v>
      </c>
      <c r="D92" s="13">
        <f t="shared" si="6"/>
        <v>36.225806451612904</v>
      </c>
      <c r="E92" s="13">
        <f t="shared" si="6"/>
        <v>36.033333333333331</v>
      </c>
      <c r="F92" s="13">
        <f t="shared" si="6"/>
        <v>36.322580645161288</v>
      </c>
      <c r="G92" s="13">
        <f t="shared" si="6"/>
        <v>36.333333333333336</v>
      </c>
      <c r="H92" s="13">
        <f t="shared" si="6"/>
        <v>36.612903225806448</v>
      </c>
      <c r="I92" s="13">
        <f t="shared" si="6"/>
        <v>36.193548387096776</v>
      </c>
      <c r="J92" s="13">
        <f t="shared" si="6"/>
        <v>36.93333333333333</v>
      </c>
      <c r="K92" s="13">
        <f t="shared" si="6"/>
        <v>35.838709677419352</v>
      </c>
      <c r="L92" s="13">
        <f t="shared" si="6"/>
        <v>36.5</v>
      </c>
      <c r="M92" s="13">
        <f t="shared" si="6"/>
        <v>36.967741935483872</v>
      </c>
      <c r="N92" s="27">
        <f t="shared" si="6"/>
        <v>36.413698630136984</v>
      </c>
    </row>
    <row r="93" spans="1:14" x14ac:dyDescent="0.2">
      <c r="A93" s="1" t="s">
        <v>17</v>
      </c>
      <c r="B93" s="13">
        <f t="shared" ref="B93:N93" si="7">IF(B$1=0,0,B8/B$1)</f>
        <v>9.4838709677419359</v>
      </c>
      <c r="C93" s="13">
        <f t="shared" si="7"/>
        <v>9.6428571428571423</v>
      </c>
      <c r="D93" s="13">
        <f t="shared" si="7"/>
        <v>9.5161290322580641</v>
      </c>
      <c r="E93" s="13">
        <f t="shared" si="7"/>
        <v>9.7333333333333325</v>
      </c>
      <c r="F93" s="13">
        <f t="shared" si="7"/>
        <v>9.612903225806452</v>
      </c>
      <c r="G93" s="13">
        <f t="shared" si="7"/>
        <v>9.6333333333333329</v>
      </c>
      <c r="H93" s="13">
        <f t="shared" si="7"/>
        <v>9.32258064516129</v>
      </c>
      <c r="I93" s="13">
        <f t="shared" si="7"/>
        <v>9.67741935483871</v>
      </c>
      <c r="J93" s="13">
        <f t="shared" si="7"/>
        <v>9.8000000000000007</v>
      </c>
      <c r="K93" s="13">
        <f t="shared" si="7"/>
        <v>9.741935483870968</v>
      </c>
      <c r="L93" s="13">
        <f t="shared" si="7"/>
        <v>9.7666666666666675</v>
      </c>
      <c r="M93" s="13">
        <f t="shared" si="7"/>
        <v>9.6451612903225801</v>
      </c>
      <c r="N93" s="27">
        <f t="shared" si="7"/>
        <v>9.6301369863013697</v>
      </c>
    </row>
    <row r="94" spans="1:14" x14ac:dyDescent="0.2">
      <c r="A94" s="66" t="s">
        <v>211</v>
      </c>
      <c r="B94" s="69">
        <f t="shared" ref="B94:N94" si="8">IF(B$1=0,0,B9/B$1)</f>
        <v>4.580645161290323</v>
      </c>
      <c r="C94" s="69">
        <f t="shared" si="8"/>
        <v>4.8214285714285712</v>
      </c>
      <c r="D94" s="69">
        <f t="shared" si="8"/>
        <v>5.096774193548387</v>
      </c>
      <c r="E94" s="69">
        <f t="shared" si="8"/>
        <v>5.4</v>
      </c>
      <c r="F94" s="69">
        <f t="shared" si="8"/>
        <v>5.5161290322580649</v>
      </c>
      <c r="G94" s="69">
        <f t="shared" si="8"/>
        <v>4.5333333333333332</v>
      </c>
      <c r="H94" s="69">
        <f t="shared" si="8"/>
        <v>4.741935483870968</v>
      </c>
      <c r="I94" s="69">
        <f t="shared" si="8"/>
        <v>5.774193548387097</v>
      </c>
      <c r="J94" s="69">
        <f t="shared" si="8"/>
        <v>5.4333333333333336</v>
      </c>
      <c r="K94" s="69">
        <f t="shared" si="8"/>
        <v>6.387096774193548</v>
      </c>
      <c r="L94" s="69">
        <f t="shared" si="8"/>
        <v>6.9333333333333336</v>
      </c>
      <c r="M94" s="69">
        <f t="shared" si="8"/>
        <v>7.354838709677419</v>
      </c>
      <c r="N94" s="70">
        <f t="shared" si="8"/>
        <v>5.5534246575342463</v>
      </c>
    </row>
    <row r="95" spans="1:14" x14ac:dyDescent="0.2">
      <c r="A95" s="1" t="s">
        <v>165</v>
      </c>
      <c r="B95" s="13">
        <f t="shared" ref="B95:N95" si="9">IF(B$1=0,0,B10/B$1)</f>
        <v>12.709677419354838</v>
      </c>
      <c r="C95" s="13">
        <f t="shared" si="9"/>
        <v>12.035714285714286</v>
      </c>
      <c r="D95" s="13">
        <f t="shared" si="9"/>
        <v>14.193548387096774</v>
      </c>
      <c r="E95" s="13">
        <f t="shared" si="9"/>
        <v>15.866666666666667</v>
      </c>
      <c r="F95" s="13">
        <f t="shared" si="9"/>
        <v>14.903225806451612</v>
      </c>
      <c r="G95" s="13">
        <f t="shared" si="9"/>
        <v>11.8</v>
      </c>
      <c r="H95" s="13">
        <f t="shared" si="9"/>
        <v>14.290322580645162</v>
      </c>
      <c r="I95" s="13">
        <f t="shared" si="9"/>
        <v>12.387096774193548</v>
      </c>
      <c r="J95" s="13">
        <f t="shared" si="9"/>
        <v>13.533333333333333</v>
      </c>
      <c r="K95" s="13">
        <f t="shared" si="9"/>
        <v>14.709677419354838</v>
      </c>
      <c r="L95" s="13">
        <f t="shared" si="9"/>
        <v>13.533333333333333</v>
      </c>
      <c r="M95" s="13">
        <f t="shared" si="9"/>
        <v>11.903225806451612</v>
      </c>
      <c r="N95" s="27">
        <f t="shared" si="9"/>
        <v>13.498630136986302</v>
      </c>
    </row>
    <row r="96" spans="1:14" x14ac:dyDescent="0.2">
      <c r="A96" s="1" t="s">
        <v>166</v>
      </c>
      <c r="B96" s="13">
        <f t="shared" ref="B96:N96" si="10">IF(B$1=0,0,B11/B$1)</f>
        <v>52.161290322580648</v>
      </c>
      <c r="C96" s="13">
        <f t="shared" si="10"/>
        <v>50.035714285714285</v>
      </c>
      <c r="D96" s="13">
        <f t="shared" si="10"/>
        <v>57.516129032258064</v>
      </c>
      <c r="E96" s="13">
        <f t="shared" si="10"/>
        <v>59</v>
      </c>
      <c r="F96" s="13">
        <f t="shared" si="10"/>
        <v>63.322580645161288</v>
      </c>
      <c r="G96" s="13">
        <f t="shared" si="10"/>
        <v>50.233333333333334</v>
      </c>
      <c r="H96" s="13">
        <f t="shared" si="10"/>
        <v>65.193548387096769</v>
      </c>
      <c r="I96" s="13">
        <f t="shared" si="10"/>
        <v>62.903225806451616</v>
      </c>
      <c r="J96" s="13">
        <f t="shared" si="10"/>
        <v>62.766666666666666</v>
      </c>
      <c r="K96" s="13">
        <f t="shared" si="10"/>
        <v>67.483870967741936</v>
      </c>
      <c r="L96" s="13">
        <f t="shared" si="10"/>
        <v>61.966666666666669</v>
      </c>
      <c r="M96" s="13">
        <f t="shared" si="10"/>
        <v>52.451612903225808</v>
      </c>
      <c r="N96" s="27">
        <f t="shared" si="10"/>
        <v>58.827397260273976</v>
      </c>
    </row>
    <row r="97" spans="1:14" x14ac:dyDescent="0.2">
      <c r="A97" s="1" t="s">
        <v>167</v>
      </c>
      <c r="B97" s="13">
        <f t="shared" ref="B97:N97" si="11">IF(B$1=0,0,B12/B$1)</f>
        <v>4.32258064516129</v>
      </c>
      <c r="C97" s="13">
        <f t="shared" si="11"/>
        <v>4.8214285714285712</v>
      </c>
      <c r="D97" s="13">
        <f t="shared" si="11"/>
        <v>4.774193548387097</v>
      </c>
      <c r="E97" s="13">
        <f t="shared" si="11"/>
        <v>4.8666666666666663</v>
      </c>
      <c r="F97" s="13">
        <f t="shared" si="11"/>
        <v>4.5161290322580649</v>
      </c>
      <c r="G97" s="13">
        <f t="shared" si="11"/>
        <v>4.166666666666667</v>
      </c>
      <c r="H97" s="13">
        <f t="shared" si="11"/>
        <v>4.806451612903226</v>
      </c>
      <c r="I97" s="13">
        <f t="shared" si="11"/>
        <v>4.967741935483871</v>
      </c>
      <c r="J97" s="13">
        <f t="shared" si="11"/>
        <v>4.5</v>
      </c>
      <c r="K97" s="13">
        <f t="shared" si="11"/>
        <v>4.580645161290323</v>
      </c>
      <c r="L97" s="13">
        <f t="shared" si="11"/>
        <v>4.5999999999999996</v>
      </c>
      <c r="M97" s="13">
        <f t="shared" si="11"/>
        <v>4.612903225806452</v>
      </c>
      <c r="N97" s="27">
        <f t="shared" si="11"/>
        <v>4.6273972602739724</v>
      </c>
    </row>
    <row r="98" spans="1:14" ht="12" thickBot="1" x14ac:dyDescent="0.25">
      <c r="A98" s="1" t="s">
        <v>168</v>
      </c>
      <c r="B98" s="13">
        <f t="shared" ref="B98:N98" si="12">IF(B$1=0,0,B13/B$1)</f>
        <v>9.2903225806451619</v>
      </c>
      <c r="C98" s="13">
        <f t="shared" si="12"/>
        <v>9.9642857142857135</v>
      </c>
      <c r="D98" s="13">
        <f t="shared" si="12"/>
        <v>9.1612903225806459</v>
      </c>
      <c r="E98" s="13">
        <f t="shared" si="12"/>
        <v>10.5</v>
      </c>
      <c r="F98" s="13">
        <f t="shared" si="12"/>
        <v>10.612903225806452</v>
      </c>
      <c r="G98" s="13">
        <f t="shared" si="12"/>
        <v>9.4666666666666668</v>
      </c>
      <c r="H98" s="13">
        <f t="shared" si="12"/>
        <v>11.064516129032258</v>
      </c>
      <c r="I98" s="13">
        <f t="shared" si="12"/>
        <v>11.806451612903226</v>
      </c>
      <c r="J98" s="13">
        <f t="shared" si="12"/>
        <v>11.9</v>
      </c>
      <c r="K98" s="13">
        <f t="shared" si="12"/>
        <v>10.64516129032258</v>
      </c>
      <c r="L98" s="13">
        <f t="shared" si="12"/>
        <v>11.766666666666667</v>
      </c>
      <c r="M98" s="13">
        <f t="shared" si="12"/>
        <v>11.516129032258064</v>
      </c>
      <c r="N98" s="27">
        <f t="shared" si="12"/>
        <v>10.643835616438356</v>
      </c>
    </row>
    <row r="99" spans="1:14" ht="20.25" thickTop="1" thickBot="1" x14ac:dyDescent="0.25">
      <c r="A99" s="149" t="s">
        <v>20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</row>
    <row r="100" spans="1:14" ht="12" thickTop="1" x14ac:dyDescent="0.2">
      <c r="A100" s="1" t="s">
        <v>0</v>
      </c>
      <c r="B100" s="1" t="s">
        <v>1</v>
      </c>
      <c r="C100" s="1" t="s">
        <v>2</v>
      </c>
      <c r="D100" s="1" t="s">
        <v>3</v>
      </c>
      <c r="E100" s="1" t="s">
        <v>4</v>
      </c>
      <c r="F100" s="1" t="s">
        <v>5</v>
      </c>
      <c r="G100" s="1" t="s">
        <v>6</v>
      </c>
      <c r="H100" s="1" t="s">
        <v>7</v>
      </c>
      <c r="I100" s="1" t="s">
        <v>8</v>
      </c>
      <c r="J100" s="1" t="s">
        <v>9</v>
      </c>
      <c r="K100" s="1" t="s">
        <v>10</v>
      </c>
      <c r="L100" s="1" t="s">
        <v>11</v>
      </c>
      <c r="M100" s="1" t="s">
        <v>12</v>
      </c>
      <c r="N100" s="2" t="s">
        <v>241</v>
      </c>
    </row>
    <row r="101" spans="1:14" x14ac:dyDescent="0.2">
      <c r="A101" s="1" t="s">
        <v>13</v>
      </c>
      <c r="B101" s="13">
        <f t="shared" ref="B101:N101" si="13">IF(B28 = 0,0,B4/B28)</f>
        <v>7.3432642487046635</v>
      </c>
      <c r="C101" s="13">
        <f t="shared" si="13"/>
        <v>7.3202898550724633</v>
      </c>
      <c r="D101" s="13">
        <f t="shared" si="13"/>
        <v>7.4248120300751879</v>
      </c>
      <c r="E101" s="13">
        <f t="shared" si="13"/>
        <v>6.7340301974448318</v>
      </c>
      <c r="F101" s="13">
        <f t="shared" si="13"/>
        <v>7.1029748283752863</v>
      </c>
      <c r="G101" s="13">
        <f t="shared" si="13"/>
        <v>7.4016393442622954</v>
      </c>
      <c r="H101" s="13">
        <f t="shared" si="13"/>
        <v>7.6808769792935445</v>
      </c>
      <c r="I101" s="13">
        <f t="shared" si="13"/>
        <v>7.5048309178743962</v>
      </c>
      <c r="J101" s="13">
        <f t="shared" si="13"/>
        <v>7.2155688622754495</v>
      </c>
      <c r="K101" s="13">
        <f t="shared" si="13"/>
        <v>7.359818388195233</v>
      </c>
      <c r="L101" s="13">
        <f t="shared" si="13"/>
        <v>7.7040302267002518</v>
      </c>
      <c r="M101" s="13">
        <f t="shared" si="13"/>
        <v>8.1510204081632658</v>
      </c>
      <c r="N101" s="27">
        <f t="shared" si="13"/>
        <v>7.4011017565741604</v>
      </c>
    </row>
    <row r="102" spans="1:14" x14ac:dyDescent="0.2">
      <c r="A102" s="1" t="s">
        <v>14</v>
      </c>
      <c r="B102" s="13">
        <f t="shared" ref="B102:N102" si="14">IF(B29 = 0,0,B5/B29)</f>
        <v>6.5753424657534243</v>
      </c>
      <c r="C102" s="13">
        <f t="shared" si="14"/>
        <v>6.2230215827338133</v>
      </c>
      <c r="D102" s="13">
        <f t="shared" si="14"/>
        <v>6.3375796178343951</v>
      </c>
      <c r="E102" s="13">
        <f t="shared" si="14"/>
        <v>6.0542168674698793</v>
      </c>
      <c r="F102" s="13">
        <f t="shared" si="14"/>
        <v>7.3478260869565215</v>
      </c>
      <c r="G102" s="13">
        <f t="shared" si="14"/>
        <v>6.8865248226950353</v>
      </c>
      <c r="H102" s="13">
        <f t="shared" si="14"/>
        <v>7.7111111111111112</v>
      </c>
      <c r="I102" s="13">
        <f t="shared" si="14"/>
        <v>7.295774647887324</v>
      </c>
      <c r="J102" s="13">
        <f t="shared" si="14"/>
        <v>8.1848739495798313</v>
      </c>
      <c r="K102" s="13">
        <f t="shared" si="14"/>
        <v>8.4958677685950406</v>
      </c>
      <c r="L102" s="13">
        <f t="shared" si="14"/>
        <v>7.9767441860465116</v>
      </c>
      <c r="M102" s="13">
        <f t="shared" si="14"/>
        <v>8.0546875</v>
      </c>
      <c r="N102" s="27">
        <f t="shared" si="14"/>
        <v>7.1938591210114389</v>
      </c>
    </row>
    <row r="103" spans="1:14" x14ac:dyDescent="0.2">
      <c r="A103" s="1" t="s">
        <v>15</v>
      </c>
      <c r="B103" s="13">
        <f t="shared" ref="B103:N103" si="15">IF(B30 = 0,0,B6/B30)</f>
        <v>6.6713286713286717</v>
      </c>
      <c r="C103" s="13">
        <f t="shared" si="15"/>
        <v>5.8940397350993381</v>
      </c>
      <c r="D103" s="13">
        <f t="shared" si="15"/>
        <v>7.775193798449612</v>
      </c>
      <c r="E103" s="13">
        <f t="shared" si="15"/>
        <v>6.2080536912751674</v>
      </c>
      <c r="F103" s="13">
        <f t="shared" si="15"/>
        <v>5.8260869565217392</v>
      </c>
      <c r="G103" s="13">
        <f t="shared" si="15"/>
        <v>6.3034482758620687</v>
      </c>
      <c r="H103" s="13">
        <f t="shared" si="15"/>
        <v>6.9655172413793105</v>
      </c>
      <c r="I103" s="13">
        <f t="shared" si="15"/>
        <v>6.1329113924050631</v>
      </c>
      <c r="J103" s="13">
        <f t="shared" si="15"/>
        <v>5.4252873563218387</v>
      </c>
      <c r="K103" s="13">
        <f t="shared" si="15"/>
        <v>5.6759776536312847</v>
      </c>
      <c r="L103" s="13">
        <f t="shared" si="15"/>
        <v>5.6497175141242941</v>
      </c>
      <c r="M103" s="13">
        <f t="shared" si="15"/>
        <v>6.9741935483870972</v>
      </c>
      <c r="N103" s="27">
        <f t="shared" si="15"/>
        <v>6.240085744908896</v>
      </c>
    </row>
    <row r="104" spans="1:14" x14ac:dyDescent="0.2">
      <c r="A104" s="1" t="s">
        <v>16</v>
      </c>
      <c r="B104" s="13">
        <f t="shared" ref="B104:N104" si="16">IF(B31 = 0,0,B7/B31)</f>
        <v>15.506849315068493</v>
      </c>
      <c r="C104" s="13">
        <f t="shared" si="16"/>
        <v>19.283018867924529</v>
      </c>
      <c r="D104" s="13">
        <f t="shared" si="16"/>
        <v>16.761194029850746</v>
      </c>
      <c r="E104" s="13">
        <f t="shared" si="16"/>
        <v>15.225352112676056</v>
      </c>
      <c r="F104" s="13">
        <f t="shared" si="16"/>
        <v>13.404761904761905</v>
      </c>
      <c r="G104" s="13">
        <f t="shared" si="16"/>
        <v>13.79746835443038</v>
      </c>
      <c r="H104" s="13">
        <f t="shared" si="16"/>
        <v>14.1875</v>
      </c>
      <c r="I104" s="13">
        <f t="shared" si="16"/>
        <v>11.22</v>
      </c>
      <c r="J104" s="13">
        <f t="shared" si="16"/>
        <v>12.311111111111112</v>
      </c>
      <c r="K104" s="13">
        <f t="shared" si="16"/>
        <v>15.430555555555555</v>
      </c>
      <c r="L104" s="13">
        <f t="shared" si="16"/>
        <v>18.879310344827587</v>
      </c>
      <c r="M104" s="13">
        <f t="shared" si="16"/>
        <v>16.37142857142857</v>
      </c>
      <c r="N104" s="27">
        <f t="shared" si="16"/>
        <v>14.81716833890747</v>
      </c>
    </row>
    <row r="105" spans="1:14" x14ac:dyDescent="0.2">
      <c r="A105" s="1" t="s">
        <v>17</v>
      </c>
      <c r="B105" s="13">
        <f t="shared" ref="B105:N105" si="17">IF(B32 = 0,0,B8/B32)</f>
        <v>8.9090909090909083</v>
      </c>
      <c r="C105" s="13">
        <f t="shared" si="17"/>
        <v>8.7096774193548381</v>
      </c>
      <c r="D105" s="13">
        <f t="shared" si="17"/>
        <v>8.1944444444444446</v>
      </c>
      <c r="E105" s="13">
        <f t="shared" si="17"/>
        <v>5.9591836734693882</v>
      </c>
      <c r="F105" s="13">
        <f t="shared" si="17"/>
        <v>7.0952380952380949</v>
      </c>
      <c r="G105" s="13">
        <f t="shared" si="17"/>
        <v>6.8809523809523814</v>
      </c>
      <c r="H105" s="13">
        <f t="shared" si="17"/>
        <v>7.6052631578947372</v>
      </c>
      <c r="I105" s="13">
        <f t="shared" si="17"/>
        <v>8.3333333333333339</v>
      </c>
      <c r="J105" s="13">
        <f t="shared" si="17"/>
        <v>8.1666666666666661</v>
      </c>
      <c r="K105" s="13">
        <f t="shared" si="17"/>
        <v>7.1904761904761907</v>
      </c>
      <c r="L105" s="13">
        <f t="shared" si="17"/>
        <v>8.617647058823529</v>
      </c>
      <c r="M105" s="13">
        <f t="shared" si="17"/>
        <v>11.5</v>
      </c>
      <c r="N105" s="27">
        <f t="shared" si="17"/>
        <v>7.8988764044943824</v>
      </c>
    </row>
    <row r="106" spans="1:14" x14ac:dyDescent="0.2">
      <c r="A106" s="66" t="s">
        <v>211</v>
      </c>
      <c r="B106" s="69">
        <f t="shared" ref="B106:N106" si="18">IF(B33 = 0,0,B9/B33)</f>
        <v>1.392156862745098</v>
      </c>
      <c r="C106" s="69">
        <f t="shared" si="18"/>
        <v>1.5</v>
      </c>
      <c r="D106" s="69">
        <f t="shared" si="18"/>
        <v>1.4107142857142858</v>
      </c>
      <c r="E106" s="69">
        <f t="shared" si="18"/>
        <v>1.3388429752066116</v>
      </c>
      <c r="F106" s="69">
        <f t="shared" si="18"/>
        <v>1.401639344262295</v>
      </c>
      <c r="G106" s="69">
        <f t="shared" si="18"/>
        <v>1.4166666666666667</v>
      </c>
      <c r="H106" s="69">
        <f t="shared" si="18"/>
        <v>1.3738317757009346</v>
      </c>
      <c r="I106" s="69">
        <f t="shared" si="18"/>
        <v>1.5565217391304347</v>
      </c>
      <c r="J106" s="69">
        <f t="shared" si="18"/>
        <v>1.5825242718446602</v>
      </c>
      <c r="K106" s="69">
        <f t="shared" si="18"/>
        <v>1.4142857142857144</v>
      </c>
      <c r="L106" s="69">
        <f t="shared" si="18"/>
        <v>1.6124031007751938</v>
      </c>
      <c r="M106" s="69">
        <f t="shared" si="18"/>
        <v>1.8240000000000001</v>
      </c>
      <c r="N106" s="70">
        <f t="shared" si="18"/>
        <v>1.488252569750367</v>
      </c>
    </row>
    <row r="107" spans="1:14" x14ac:dyDescent="0.2">
      <c r="A107" s="1" t="s">
        <v>165</v>
      </c>
      <c r="B107" s="13">
        <f t="shared" ref="B107:N107" si="19">IF(B34 = 0,0,B10/B34)</f>
        <v>1.5573122529644268</v>
      </c>
      <c r="C107" s="13">
        <f t="shared" si="19"/>
        <v>1.3755102040816327</v>
      </c>
      <c r="D107" s="13">
        <f t="shared" si="19"/>
        <v>1.5438596491228069</v>
      </c>
      <c r="E107" s="13">
        <f t="shared" si="19"/>
        <v>1.5207667731629393</v>
      </c>
      <c r="F107" s="13">
        <f t="shared" si="19"/>
        <v>1.6267605633802817</v>
      </c>
      <c r="G107" s="13">
        <f t="shared" si="19"/>
        <v>1.631336405529954</v>
      </c>
      <c r="H107" s="13">
        <f t="shared" si="19"/>
        <v>1.6716981132075472</v>
      </c>
      <c r="I107" s="13">
        <f t="shared" si="19"/>
        <v>1.5867768595041323</v>
      </c>
      <c r="J107" s="13">
        <f t="shared" si="19"/>
        <v>1.6047430830039526</v>
      </c>
      <c r="K107" s="13">
        <f t="shared" si="19"/>
        <v>1.6888888888888889</v>
      </c>
      <c r="L107" s="13">
        <f t="shared" si="19"/>
        <v>1.7350427350427351</v>
      </c>
      <c r="M107" s="13">
        <f t="shared" si="19"/>
        <v>1.6113537117903931</v>
      </c>
      <c r="N107" s="27">
        <f t="shared" si="19"/>
        <v>1.5944983818770226</v>
      </c>
    </row>
    <row r="108" spans="1:14" x14ac:dyDescent="0.2">
      <c r="A108" s="1" t="s">
        <v>166</v>
      </c>
      <c r="B108" s="13">
        <f t="shared" ref="B108:N108" si="20">IF(B35 = 0,0,B11/B35)</f>
        <v>3.7604651162790699</v>
      </c>
      <c r="C108" s="13">
        <f t="shared" si="20"/>
        <v>3.5739795918367347</v>
      </c>
      <c r="D108" s="13">
        <f t="shared" si="20"/>
        <v>3.8845315904139435</v>
      </c>
      <c r="E108" s="13">
        <f t="shared" si="20"/>
        <v>3.7982832618025753</v>
      </c>
      <c r="F108" s="13">
        <f t="shared" si="20"/>
        <v>3.804263565891473</v>
      </c>
      <c r="G108" s="13">
        <f t="shared" si="20"/>
        <v>3.4172335600907031</v>
      </c>
      <c r="H108" s="13">
        <f t="shared" si="20"/>
        <v>3.9627450980392158</v>
      </c>
      <c r="I108" s="13">
        <f t="shared" si="20"/>
        <v>3.9473684210526314</v>
      </c>
      <c r="J108" s="13">
        <f t="shared" si="20"/>
        <v>3.6211538461538462</v>
      </c>
      <c r="K108" s="13">
        <f t="shared" si="20"/>
        <v>3.859778597785978</v>
      </c>
      <c r="L108" s="13">
        <f t="shared" si="20"/>
        <v>3.6522593320235757</v>
      </c>
      <c r="M108" s="13">
        <f t="shared" si="20"/>
        <v>3.6133333333333333</v>
      </c>
      <c r="N108" s="27">
        <f t="shared" si="20"/>
        <v>3.7479490312445454</v>
      </c>
    </row>
    <row r="109" spans="1:14" x14ac:dyDescent="0.2">
      <c r="A109" s="1" t="s">
        <v>167</v>
      </c>
      <c r="B109" s="13">
        <f t="shared" ref="B109:N109" si="21">IF(B36 = 0,0,B12/B36)</f>
        <v>5.583333333333333</v>
      </c>
      <c r="C109" s="13">
        <f t="shared" si="21"/>
        <v>7.5</v>
      </c>
      <c r="D109" s="13">
        <f t="shared" si="21"/>
        <v>6.166666666666667</v>
      </c>
      <c r="E109" s="13">
        <f t="shared" si="21"/>
        <v>4.8666666666666663</v>
      </c>
      <c r="F109" s="13">
        <f t="shared" si="21"/>
        <v>3.7837837837837838</v>
      </c>
      <c r="G109" s="13">
        <f t="shared" si="21"/>
        <v>4.4642857142857144</v>
      </c>
      <c r="H109" s="13">
        <f t="shared" si="21"/>
        <v>5.7307692307692308</v>
      </c>
      <c r="I109" s="13">
        <f t="shared" si="21"/>
        <v>7.333333333333333</v>
      </c>
      <c r="J109" s="13">
        <f t="shared" si="21"/>
        <v>4.8214285714285712</v>
      </c>
      <c r="K109" s="13">
        <f t="shared" si="21"/>
        <v>7.8888888888888893</v>
      </c>
      <c r="L109" s="13">
        <f t="shared" si="21"/>
        <v>6</v>
      </c>
      <c r="M109" s="13">
        <f t="shared" si="21"/>
        <v>4.46875</v>
      </c>
      <c r="N109" s="27">
        <f t="shared" si="21"/>
        <v>5.4660194174757279</v>
      </c>
    </row>
    <row r="110" spans="1:14" ht="12" thickBot="1" x14ac:dyDescent="0.25">
      <c r="A110" s="1" t="s">
        <v>168</v>
      </c>
      <c r="B110" s="13">
        <f t="shared" ref="B110:N110" si="22">IF(B37 = 0,0,B13/B37)</f>
        <v>1.3980582524271845</v>
      </c>
      <c r="C110" s="13">
        <f t="shared" si="22"/>
        <v>1.55</v>
      </c>
      <c r="D110" s="13">
        <f t="shared" si="22"/>
        <v>1.5351351351351352</v>
      </c>
      <c r="E110" s="13">
        <f t="shared" si="22"/>
        <v>1.4318181818181819</v>
      </c>
      <c r="F110" s="13">
        <f t="shared" si="22"/>
        <v>1.4242424242424243</v>
      </c>
      <c r="G110" s="13">
        <f t="shared" si="22"/>
        <v>1.5106382978723405</v>
      </c>
      <c r="H110" s="13">
        <f t="shared" si="22"/>
        <v>1.573394495412844</v>
      </c>
      <c r="I110" s="13">
        <f t="shared" si="22"/>
        <v>1.5844155844155845</v>
      </c>
      <c r="J110" s="13">
        <f t="shared" si="22"/>
        <v>1.5256410256410255</v>
      </c>
      <c r="K110" s="13">
        <f t="shared" si="22"/>
        <v>1.896551724137931</v>
      </c>
      <c r="L110" s="13">
        <f t="shared" si="22"/>
        <v>1.7219512195121951</v>
      </c>
      <c r="M110" s="13">
        <f t="shared" si="22"/>
        <v>1.59375</v>
      </c>
      <c r="N110" s="27">
        <f t="shared" si="22"/>
        <v>1.5564903846153846</v>
      </c>
    </row>
    <row r="111" spans="1:14" ht="20.25" thickTop="1" thickBot="1" x14ac:dyDescent="0.25">
      <c r="A111" s="151" t="s">
        <v>363</v>
      </c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</row>
    <row r="112" spans="1:14" ht="12" thickTop="1" x14ac:dyDescent="0.2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1" t="s">
        <v>6</v>
      </c>
      <c r="H112" s="1" t="s">
        <v>7</v>
      </c>
      <c r="I112" s="1" t="s">
        <v>8</v>
      </c>
      <c r="J112" s="1" t="s">
        <v>9</v>
      </c>
      <c r="K112" s="1" t="s">
        <v>10</v>
      </c>
      <c r="L112" s="1" t="s">
        <v>11</v>
      </c>
      <c r="M112" s="1" t="s">
        <v>12</v>
      </c>
      <c r="N112" s="2" t="s">
        <v>241</v>
      </c>
    </row>
    <row r="113" spans="1:14" x14ac:dyDescent="0.2">
      <c r="A113" s="1" t="s">
        <v>13</v>
      </c>
      <c r="B113" s="25">
        <f t="shared" ref="B113:N113" si="23">IF(B76 = 0,0,B4/B76)</f>
        <v>1.5113303119168222</v>
      </c>
      <c r="C113" s="25">
        <f t="shared" si="23"/>
        <v>1.4908500590318772</v>
      </c>
      <c r="D113" s="25">
        <f t="shared" si="23"/>
        <v>1.5795787789922686</v>
      </c>
      <c r="E113" s="25">
        <f t="shared" si="23"/>
        <v>1.5972451790633608</v>
      </c>
      <c r="F113" s="25">
        <f t="shared" si="23"/>
        <v>1.6550253265795787</v>
      </c>
      <c r="G113" s="25">
        <f t="shared" si="23"/>
        <v>1.4925619834710744</v>
      </c>
      <c r="H113" s="25">
        <f t="shared" si="23"/>
        <v>1.6811516928818981</v>
      </c>
      <c r="I113" s="25">
        <f t="shared" si="23"/>
        <v>1.6566249000266595</v>
      </c>
      <c r="J113" s="25">
        <f t="shared" si="23"/>
        <v>1.6597796143250689</v>
      </c>
      <c r="K113" s="25">
        <f t="shared" si="23"/>
        <v>1.7144368059227921</v>
      </c>
      <c r="L113" s="25">
        <f t="shared" si="23"/>
        <v>1.6713114754098362</v>
      </c>
      <c r="M113" s="25">
        <f t="shared" si="23"/>
        <v>1.5840824960338444</v>
      </c>
      <c r="N113" s="28">
        <f t="shared" si="23"/>
        <v>1.6089206227263484</v>
      </c>
    </row>
    <row r="114" spans="1:14" x14ac:dyDescent="0.2">
      <c r="A114" s="1" t="s">
        <v>14</v>
      </c>
      <c r="B114" s="25">
        <f t="shared" ref="B114:N114" si="24">IF(B77 = 0,0,B5/B77)</f>
        <v>0.83696599825632079</v>
      </c>
      <c r="C114" s="25">
        <f t="shared" si="24"/>
        <v>0.83494208494208499</v>
      </c>
      <c r="D114" s="25">
        <f t="shared" si="24"/>
        <v>0.86748038360941582</v>
      </c>
      <c r="E114" s="25">
        <f t="shared" si="24"/>
        <v>0.90540540540540537</v>
      </c>
      <c r="F114" s="25">
        <f t="shared" si="24"/>
        <v>0.88404533565823884</v>
      </c>
      <c r="G114" s="25">
        <f t="shared" si="24"/>
        <v>0.87477477477477472</v>
      </c>
      <c r="H114" s="25">
        <f t="shared" si="24"/>
        <v>0.90758500435919787</v>
      </c>
      <c r="I114" s="25">
        <f t="shared" si="24"/>
        <v>0.90322580645161288</v>
      </c>
      <c r="J114" s="25">
        <f t="shared" si="24"/>
        <v>0.87747747747747751</v>
      </c>
      <c r="K114" s="25">
        <f t="shared" si="24"/>
        <v>0.89625108979947687</v>
      </c>
      <c r="L114" s="25">
        <f t="shared" si="24"/>
        <v>0.927027027027027</v>
      </c>
      <c r="M114" s="25">
        <f t="shared" si="24"/>
        <v>0.89886660854402789</v>
      </c>
      <c r="N114" s="28">
        <f t="shared" si="24"/>
        <v>0.8847834135505368</v>
      </c>
    </row>
    <row r="115" spans="1:14" x14ac:dyDescent="0.2">
      <c r="A115" s="1" t="s">
        <v>15</v>
      </c>
      <c r="B115" s="25">
        <f t="shared" ref="B115:N115" si="25">IF(B78 = 0,0,B6/B78)</f>
        <v>0.83173496076721887</v>
      </c>
      <c r="C115" s="25">
        <f t="shared" si="25"/>
        <v>0.85907335907335902</v>
      </c>
      <c r="D115" s="25">
        <f t="shared" si="25"/>
        <v>0.87445510026155182</v>
      </c>
      <c r="E115" s="25">
        <f t="shared" si="25"/>
        <v>0.83333333333333337</v>
      </c>
      <c r="F115" s="25">
        <f t="shared" si="25"/>
        <v>0.81778552746294686</v>
      </c>
      <c r="G115" s="25">
        <f t="shared" si="25"/>
        <v>0.82342342342342345</v>
      </c>
      <c r="H115" s="25">
        <f t="shared" si="25"/>
        <v>0.88055797733217089</v>
      </c>
      <c r="I115" s="25">
        <f t="shared" si="25"/>
        <v>0.84481255448997383</v>
      </c>
      <c r="J115" s="25">
        <f t="shared" si="25"/>
        <v>0.85045045045045042</v>
      </c>
      <c r="K115" s="25">
        <f t="shared" si="25"/>
        <v>0.88578901482127292</v>
      </c>
      <c r="L115" s="25">
        <f t="shared" si="25"/>
        <v>0.90090090090090091</v>
      </c>
      <c r="M115" s="25">
        <f t="shared" si="25"/>
        <v>0.942458587619878</v>
      </c>
      <c r="N115" s="28">
        <f t="shared" si="25"/>
        <v>0.8621991854868567</v>
      </c>
    </row>
    <row r="116" spans="1:14" x14ac:dyDescent="0.2">
      <c r="A116" s="1" t="s">
        <v>16</v>
      </c>
      <c r="B116" s="25">
        <f t="shared" ref="B116:N116" si="26">IF(B79 = 0,0,B7/B79)</f>
        <v>0.98692240627724503</v>
      </c>
      <c r="C116" s="25">
        <f t="shared" si="26"/>
        <v>0.98648648648648651</v>
      </c>
      <c r="D116" s="25">
        <f t="shared" si="26"/>
        <v>0.97907585004359199</v>
      </c>
      <c r="E116" s="25">
        <f t="shared" si="26"/>
        <v>0.97387387387387392</v>
      </c>
      <c r="F116" s="25">
        <f t="shared" si="26"/>
        <v>0.981691368788143</v>
      </c>
      <c r="G116" s="25">
        <f t="shared" si="26"/>
        <v>0.98198198198198194</v>
      </c>
      <c r="H116" s="25">
        <f t="shared" si="26"/>
        <v>0.98953792502179594</v>
      </c>
      <c r="I116" s="25">
        <f t="shared" si="26"/>
        <v>0.97820401046207495</v>
      </c>
      <c r="J116" s="25">
        <f t="shared" si="26"/>
        <v>0.99819819819819822</v>
      </c>
      <c r="K116" s="25">
        <f t="shared" si="26"/>
        <v>0.94312393887945667</v>
      </c>
      <c r="L116" s="25">
        <f t="shared" si="26"/>
        <v>0.96052631578947367</v>
      </c>
      <c r="M116" s="25">
        <f t="shared" si="26"/>
        <v>0.97283531409168078</v>
      </c>
      <c r="N116" s="28">
        <f t="shared" si="26"/>
        <v>0.97749503566963303</v>
      </c>
    </row>
    <row r="117" spans="1:14" x14ac:dyDescent="0.2">
      <c r="A117" s="1" t="s">
        <v>17</v>
      </c>
      <c r="B117" s="25">
        <f t="shared" ref="B117:N117" si="27">IF(B80 = 0,0,B8/B80)</f>
        <v>0.94838709677419353</v>
      </c>
      <c r="C117" s="25">
        <f t="shared" si="27"/>
        <v>0.9642857142857143</v>
      </c>
      <c r="D117" s="25">
        <f t="shared" si="27"/>
        <v>0.95161290322580649</v>
      </c>
      <c r="E117" s="25">
        <f t="shared" si="27"/>
        <v>0.97333333333333338</v>
      </c>
      <c r="F117" s="25">
        <f t="shared" si="27"/>
        <v>0.96129032258064517</v>
      </c>
      <c r="G117" s="25">
        <f t="shared" si="27"/>
        <v>0.96333333333333337</v>
      </c>
      <c r="H117" s="25">
        <f t="shared" si="27"/>
        <v>0.93225806451612903</v>
      </c>
      <c r="I117" s="25">
        <f t="shared" si="27"/>
        <v>0.967741935483871</v>
      </c>
      <c r="J117" s="25">
        <f t="shared" si="27"/>
        <v>0.98</v>
      </c>
      <c r="K117" s="25">
        <f t="shared" si="27"/>
        <v>0.97419354838709682</v>
      </c>
      <c r="L117" s="25">
        <f t="shared" si="27"/>
        <v>0.97666666666666668</v>
      </c>
      <c r="M117" s="25">
        <f t="shared" si="27"/>
        <v>0.96451612903225803</v>
      </c>
      <c r="N117" s="28">
        <f t="shared" si="27"/>
        <v>0.96301369863013697</v>
      </c>
    </row>
    <row r="118" spans="1:14" x14ac:dyDescent="0.2">
      <c r="A118" s="66" t="s">
        <v>211</v>
      </c>
      <c r="B118" s="25">
        <f t="shared" ref="B118:N118" si="28">IF(B81 = 0,0,B9/B81)</f>
        <v>0</v>
      </c>
      <c r="C118" s="25">
        <f t="shared" si="28"/>
        <v>0</v>
      </c>
      <c r="D118" s="25">
        <f t="shared" si="28"/>
        <v>0</v>
      </c>
      <c r="E118" s="25">
        <f t="shared" si="28"/>
        <v>0</v>
      </c>
      <c r="F118" s="25">
        <f t="shared" si="28"/>
        <v>0</v>
      </c>
      <c r="G118" s="25">
        <f t="shared" si="28"/>
        <v>0</v>
      </c>
      <c r="H118" s="25">
        <f t="shared" si="28"/>
        <v>0</v>
      </c>
      <c r="I118" s="25">
        <f t="shared" si="28"/>
        <v>0</v>
      </c>
      <c r="J118" s="25">
        <f t="shared" si="28"/>
        <v>0</v>
      </c>
      <c r="K118" s="25">
        <f t="shared" si="28"/>
        <v>0</v>
      </c>
      <c r="L118" s="25">
        <f t="shared" si="28"/>
        <v>0</v>
      </c>
      <c r="M118" s="25">
        <f t="shared" si="28"/>
        <v>0</v>
      </c>
      <c r="N118" s="28">
        <f t="shared" si="28"/>
        <v>0</v>
      </c>
    </row>
    <row r="119" spans="1:14" x14ac:dyDescent="0.2">
      <c r="A119" s="1" t="s">
        <v>165</v>
      </c>
      <c r="B119" s="25">
        <f t="shared" ref="B119:N119" si="29">IF(B82 = 0,0,B10/B82)</f>
        <v>0</v>
      </c>
      <c r="C119" s="25">
        <f t="shared" si="29"/>
        <v>0</v>
      </c>
      <c r="D119" s="25">
        <f t="shared" si="29"/>
        <v>0</v>
      </c>
      <c r="E119" s="25">
        <f t="shared" si="29"/>
        <v>0</v>
      </c>
      <c r="F119" s="25">
        <f t="shared" si="29"/>
        <v>0</v>
      </c>
      <c r="G119" s="25">
        <f t="shared" si="29"/>
        <v>0</v>
      </c>
      <c r="H119" s="25">
        <f t="shared" si="29"/>
        <v>0</v>
      </c>
      <c r="I119" s="25">
        <f t="shared" si="29"/>
        <v>0</v>
      </c>
      <c r="J119" s="25">
        <f t="shared" si="29"/>
        <v>0</v>
      </c>
      <c r="K119" s="25">
        <f t="shared" si="29"/>
        <v>0</v>
      </c>
      <c r="L119" s="25">
        <f t="shared" si="29"/>
        <v>0</v>
      </c>
      <c r="M119" s="25">
        <f t="shared" si="29"/>
        <v>0</v>
      </c>
      <c r="N119" s="28">
        <f t="shared" si="29"/>
        <v>0</v>
      </c>
    </row>
    <row r="120" spans="1:14" x14ac:dyDescent="0.2">
      <c r="A120" s="1" t="s">
        <v>166</v>
      </c>
      <c r="B120" s="25">
        <f t="shared" ref="B120:N120" si="30">IF(B83 = 0,0,B11/B83)</f>
        <v>0</v>
      </c>
      <c r="C120" s="25">
        <f t="shared" si="30"/>
        <v>0</v>
      </c>
      <c r="D120" s="25">
        <f t="shared" si="30"/>
        <v>0</v>
      </c>
      <c r="E120" s="25">
        <f t="shared" si="30"/>
        <v>0</v>
      </c>
      <c r="F120" s="25">
        <f t="shared" si="30"/>
        <v>0</v>
      </c>
      <c r="G120" s="25">
        <f t="shared" si="30"/>
        <v>0</v>
      </c>
      <c r="H120" s="25">
        <f t="shared" si="30"/>
        <v>0</v>
      </c>
      <c r="I120" s="25">
        <f t="shared" si="30"/>
        <v>0</v>
      </c>
      <c r="J120" s="25">
        <f t="shared" si="30"/>
        <v>0</v>
      </c>
      <c r="K120" s="25">
        <f t="shared" si="30"/>
        <v>0</v>
      </c>
      <c r="L120" s="25">
        <f t="shared" si="30"/>
        <v>0</v>
      </c>
      <c r="M120" s="25">
        <f t="shared" si="30"/>
        <v>0</v>
      </c>
      <c r="N120" s="28">
        <f t="shared" si="30"/>
        <v>0</v>
      </c>
    </row>
    <row r="121" spans="1:14" x14ac:dyDescent="0.2">
      <c r="A121" s="1" t="s">
        <v>167</v>
      </c>
      <c r="B121" s="25">
        <f t="shared" ref="B121:N121" si="31">IF(B84 = 0,0,B12/B84)</f>
        <v>0</v>
      </c>
      <c r="C121" s="25">
        <f t="shared" si="31"/>
        <v>0</v>
      </c>
      <c r="D121" s="25">
        <f t="shared" si="31"/>
        <v>0</v>
      </c>
      <c r="E121" s="25">
        <f t="shared" si="31"/>
        <v>0</v>
      </c>
      <c r="F121" s="25">
        <f t="shared" si="31"/>
        <v>0</v>
      </c>
      <c r="G121" s="25">
        <f t="shared" si="31"/>
        <v>0</v>
      </c>
      <c r="H121" s="25">
        <f t="shared" si="31"/>
        <v>0</v>
      </c>
      <c r="I121" s="25">
        <f t="shared" si="31"/>
        <v>0</v>
      </c>
      <c r="J121" s="25">
        <f t="shared" si="31"/>
        <v>0</v>
      </c>
      <c r="K121" s="25">
        <f t="shared" si="31"/>
        <v>0</v>
      </c>
      <c r="L121" s="25">
        <f t="shared" si="31"/>
        <v>0</v>
      </c>
      <c r="M121" s="25">
        <f t="shared" si="31"/>
        <v>0</v>
      </c>
      <c r="N121" s="28">
        <f t="shared" si="31"/>
        <v>0</v>
      </c>
    </row>
    <row r="122" spans="1:14" ht="12" thickBot="1" x14ac:dyDescent="0.25">
      <c r="A122" s="1" t="s">
        <v>168</v>
      </c>
      <c r="B122" s="25">
        <f t="shared" ref="B122:N122" si="32">IF(B85 = 0,0,B13/B85)</f>
        <v>0</v>
      </c>
      <c r="C122" s="25">
        <f t="shared" si="32"/>
        <v>0</v>
      </c>
      <c r="D122" s="25">
        <f t="shared" si="32"/>
        <v>0</v>
      </c>
      <c r="E122" s="25">
        <f t="shared" si="32"/>
        <v>0</v>
      </c>
      <c r="F122" s="25">
        <f t="shared" si="32"/>
        <v>0</v>
      </c>
      <c r="G122" s="25">
        <f t="shared" si="32"/>
        <v>0</v>
      </c>
      <c r="H122" s="25">
        <f t="shared" si="32"/>
        <v>0</v>
      </c>
      <c r="I122" s="25">
        <f t="shared" si="32"/>
        <v>0</v>
      </c>
      <c r="J122" s="25">
        <f t="shared" si="32"/>
        <v>0</v>
      </c>
      <c r="K122" s="25">
        <f t="shared" si="32"/>
        <v>0</v>
      </c>
      <c r="L122" s="25">
        <f t="shared" si="32"/>
        <v>0</v>
      </c>
      <c r="M122" s="25">
        <f t="shared" si="32"/>
        <v>0</v>
      </c>
      <c r="N122" s="28">
        <f t="shared" si="32"/>
        <v>0</v>
      </c>
    </row>
    <row r="123" spans="1:14" ht="20.25" thickTop="1" thickBot="1" x14ac:dyDescent="0.25">
      <c r="A123" s="149" t="s">
        <v>21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</row>
    <row r="124" spans="1:14" ht="12" thickTop="1" x14ac:dyDescent="0.2">
      <c r="A124" s="1" t="s">
        <v>0</v>
      </c>
      <c r="B124" s="1" t="s">
        <v>1</v>
      </c>
      <c r="C124" s="1" t="s">
        <v>2</v>
      </c>
      <c r="D124" s="1" t="s">
        <v>3</v>
      </c>
      <c r="E124" s="1" t="s">
        <v>4</v>
      </c>
      <c r="F124" s="1" t="s">
        <v>5</v>
      </c>
      <c r="G124" s="1" t="s">
        <v>6</v>
      </c>
      <c r="H124" s="1" t="s">
        <v>7</v>
      </c>
      <c r="I124" s="1" t="s">
        <v>8</v>
      </c>
      <c r="J124" s="1" t="s">
        <v>9</v>
      </c>
      <c r="K124" s="1" t="s">
        <v>10</v>
      </c>
      <c r="L124" s="1" t="s">
        <v>11</v>
      </c>
      <c r="M124" s="1" t="s">
        <v>12</v>
      </c>
      <c r="N124" s="2" t="s">
        <v>241</v>
      </c>
    </row>
    <row r="125" spans="1:14" x14ac:dyDescent="0.2">
      <c r="A125" s="1" t="s">
        <v>13</v>
      </c>
      <c r="B125" s="25">
        <f t="shared" ref="B125:N125" si="33">IF(B64=0,0,B4/B64)</f>
        <v>0.99648444366320965</v>
      </c>
      <c r="C125" s="25">
        <f t="shared" si="33"/>
        <v>0.99625246548323476</v>
      </c>
      <c r="D125" s="25">
        <f t="shared" si="33"/>
        <v>0.99646821392532792</v>
      </c>
      <c r="E125" s="25">
        <f t="shared" si="33"/>
        <v>0.99724802201582385</v>
      </c>
      <c r="F125" s="25">
        <f t="shared" si="33"/>
        <v>0.99535032868366202</v>
      </c>
      <c r="G125" s="25">
        <f t="shared" si="33"/>
        <v>0.99723909442297076</v>
      </c>
      <c r="H125" s="25">
        <f t="shared" si="33"/>
        <v>0.99778481012658227</v>
      </c>
      <c r="I125" s="25">
        <f t="shared" si="33"/>
        <v>0.99743178170144464</v>
      </c>
      <c r="J125" s="25">
        <f t="shared" si="33"/>
        <v>0.99636183231354392</v>
      </c>
      <c r="K125" s="25">
        <f t="shared" si="33"/>
        <v>0.99661850599446666</v>
      </c>
      <c r="L125" s="25">
        <f t="shared" si="33"/>
        <v>0.99657869012707723</v>
      </c>
      <c r="M125" s="25">
        <f t="shared" si="33"/>
        <v>0.9978347768154564</v>
      </c>
      <c r="N125" s="28">
        <f t="shared" si="33"/>
        <v>0.99680824257356437</v>
      </c>
    </row>
    <row r="126" spans="1:14" x14ac:dyDescent="0.2">
      <c r="A126" s="1" t="s">
        <v>14</v>
      </c>
      <c r="B126" s="25">
        <f t="shared" ref="B126:N126" si="34">IF(B65=0,0,B5/B65)</f>
        <v>0.83696599825632079</v>
      </c>
      <c r="C126" s="25">
        <f t="shared" si="34"/>
        <v>0.8206831119544592</v>
      </c>
      <c r="D126" s="25">
        <f t="shared" si="34"/>
        <v>0.8622183708838822</v>
      </c>
      <c r="E126" s="25">
        <f t="shared" si="34"/>
        <v>0.87163920208152645</v>
      </c>
      <c r="F126" s="25">
        <f t="shared" si="34"/>
        <v>0.84641068447412349</v>
      </c>
      <c r="G126" s="25">
        <f t="shared" si="34"/>
        <v>0.85026269702276702</v>
      </c>
      <c r="H126" s="25">
        <f t="shared" si="34"/>
        <v>0.87332214765100669</v>
      </c>
      <c r="I126" s="25">
        <f t="shared" si="34"/>
        <v>0.87945670628183359</v>
      </c>
      <c r="J126" s="25">
        <f t="shared" si="34"/>
        <v>0.8528896672504378</v>
      </c>
      <c r="K126" s="25">
        <f t="shared" si="34"/>
        <v>0.8660488626790227</v>
      </c>
      <c r="L126" s="25">
        <f t="shared" si="34"/>
        <v>0.90421792618629171</v>
      </c>
      <c r="M126" s="25">
        <f t="shared" si="34"/>
        <v>0.87298899237933958</v>
      </c>
      <c r="N126" s="28">
        <f t="shared" si="34"/>
        <v>0.86174816096927742</v>
      </c>
    </row>
    <row r="127" spans="1:14" x14ac:dyDescent="0.2">
      <c r="A127" s="1" t="s">
        <v>15</v>
      </c>
      <c r="B127" s="25">
        <f t="shared" ref="B127:N127" si="35">IF(B66=0,0,B6/B66)</f>
        <v>0.79433805162364701</v>
      </c>
      <c r="C127" s="25">
        <f t="shared" si="35"/>
        <v>0.81501831501831501</v>
      </c>
      <c r="D127" s="25">
        <f t="shared" si="35"/>
        <v>0.82961124896608762</v>
      </c>
      <c r="E127" s="25">
        <f t="shared" si="35"/>
        <v>0.79059829059829057</v>
      </c>
      <c r="F127" s="25">
        <f t="shared" si="35"/>
        <v>0.7675941080196399</v>
      </c>
      <c r="G127" s="25">
        <f t="shared" si="35"/>
        <v>0.7811965811965812</v>
      </c>
      <c r="H127" s="25">
        <f t="shared" si="35"/>
        <v>0.83540115798180314</v>
      </c>
      <c r="I127" s="25">
        <f t="shared" si="35"/>
        <v>0.80414937759336103</v>
      </c>
      <c r="J127" s="25">
        <f t="shared" si="35"/>
        <v>0.82015638575152039</v>
      </c>
      <c r="K127" s="25">
        <f t="shared" si="35"/>
        <v>0.84737281067556292</v>
      </c>
      <c r="L127" s="25">
        <f t="shared" si="35"/>
        <v>0.85470085470085466</v>
      </c>
      <c r="M127" s="25">
        <f t="shared" si="35"/>
        <v>0.89412737799834574</v>
      </c>
      <c r="N127" s="28">
        <f t="shared" si="35"/>
        <v>0.81959597381572469</v>
      </c>
    </row>
    <row r="128" spans="1:14" x14ac:dyDescent="0.2">
      <c r="A128" s="1" t="s">
        <v>16</v>
      </c>
      <c r="B128" s="25">
        <f t="shared" ref="B128:N128" si="36">IF(B67=0,0,B7/B67)</f>
        <v>0.89063729346970888</v>
      </c>
      <c r="C128" s="25">
        <f t="shared" si="36"/>
        <v>0.8902439024390244</v>
      </c>
      <c r="D128" s="25">
        <f t="shared" si="36"/>
        <v>0.88355625491738787</v>
      </c>
      <c r="E128" s="25">
        <f t="shared" si="36"/>
        <v>0.87886178861788622</v>
      </c>
      <c r="F128" s="25">
        <f t="shared" si="36"/>
        <v>0.88591660110149484</v>
      </c>
      <c r="G128" s="25">
        <f t="shared" si="36"/>
        <v>0.88617886178861793</v>
      </c>
      <c r="H128" s="25">
        <f t="shared" si="36"/>
        <v>0.89652448657187989</v>
      </c>
      <c r="I128" s="25">
        <f t="shared" si="36"/>
        <v>0.88346456692913389</v>
      </c>
      <c r="J128" s="25">
        <f t="shared" si="36"/>
        <v>0.90228013029315957</v>
      </c>
      <c r="K128" s="25">
        <f t="shared" si="36"/>
        <v>0.8741148701809599</v>
      </c>
      <c r="L128" s="25">
        <f t="shared" si="36"/>
        <v>0.8902439024390244</v>
      </c>
      <c r="M128" s="25">
        <f t="shared" si="36"/>
        <v>0.90165224232887486</v>
      </c>
      <c r="N128" s="28">
        <f t="shared" si="36"/>
        <v>0.88861402687704749</v>
      </c>
    </row>
    <row r="129" spans="1:14" x14ac:dyDescent="0.2">
      <c r="A129" s="1" t="s">
        <v>17</v>
      </c>
      <c r="B129" s="25">
        <f t="shared" ref="B129:N129" si="37">IF(B68=0,0,B8/B68)</f>
        <v>0.94838709677419353</v>
      </c>
      <c r="C129" s="25">
        <f t="shared" si="37"/>
        <v>0.9642857142857143</v>
      </c>
      <c r="D129" s="25">
        <f t="shared" si="37"/>
        <v>0.94855305466237938</v>
      </c>
      <c r="E129" s="25">
        <f t="shared" si="37"/>
        <v>0.9700996677740864</v>
      </c>
      <c r="F129" s="25">
        <f t="shared" si="37"/>
        <v>0.96129032258064517</v>
      </c>
      <c r="G129" s="25">
        <f t="shared" si="37"/>
        <v>0.96333333333333337</v>
      </c>
      <c r="H129" s="25">
        <f t="shared" si="37"/>
        <v>0.75260416666666663</v>
      </c>
      <c r="I129" s="25">
        <f t="shared" si="37"/>
        <v>0.87976539589442815</v>
      </c>
      <c r="J129" s="25">
        <f t="shared" si="37"/>
        <v>0.89090909090909087</v>
      </c>
      <c r="K129" s="25">
        <f t="shared" si="37"/>
        <v>0.88563049853372433</v>
      </c>
      <c r="L129" s="25">
        <f t="shared" si="37"/>
        <v>0.88787878787878793</v>
      </c>
      <c r="M129" s="25">
        <f t="shared" si="37"/>
        <v>0.87683284457478006</v>
      </c>
      <c r="N129" s="28">
        <f t="shared" si="37"/>
        <v>0.90616138179943284</v>
      </c>
    </row>
    <row r="130" spans="1:14" x14ac:dyDescent="0.2">
      <c r="A130" s="66" t="s">
        <v>211</v>
      </c>
      <c r="B130" s="71">
        <f t="shared" ref="B130:N130" si="38">IF(B69=0,0,B9/B69)</f>
        <v>0.99300699300699302</v>
      </c>
      <c r="C130" s="71">
        <f t="shared" si="38"/>
        <v>0.97826086956521741</v>
      </c>
      <c r="D130" s="71">
        <f t="shared" si="38"/>
        <v>0.98136645962732916</v>
      </c>
      <c r="E130" s="71">
        <f t="shared" si="38"/>
        <v>1</v>
      </c>
      <c r="F130" s="71">
        <f t="shared" si="38"/>
        <v>0.96610169491525422</v>
      </c>
      <c r="G130" s="71">
        <f t="shared" si="38"/>
        <v>1</v>
      </c>
      <c r="H130" s="71">
        <f t="shared" si="38"/>
        <v>0.98657718120805371</v>
      </c>
      <c r="I130" s="71">
        <f t="shared" si="38"/>
        <v>0.99444444444444446</v>
      </c>
      <c r="J130" s="71">
        <f t="shared" si="38"/>
        <v>0.99390243902439024</v>
      </c>
      <c r="K130" s="71">
        <f t="shared" si="38"/>
        <v>0.99</v>
      </c>
      <c r="L130" s="71">
        <f t="shared" si="38"/>
        <v>1</v>
      </c>
      <c r="M130" s="71">
        <f t="shared" si="38"/>
        <v>1</v>
      </c>
      <c r="N130" s="72">
        <f t="shared" si="38"/>
        <v>0.99071358748778104</v>
      </c>
    </row>
    <row r="131" spans="1:14" x14ac:dyDescent="0.2">
      <c r="A131" s="1" t="s">
        <v>165</v>
      </c>
      <c r="B131" s="25">
        <f t="shared" ref="B131:N131" si="39">IF(B70=0,0,B10/B70)</f>
        <v>0.99746835443037973</v>
      </c>
      <c r="C131" s="25">
        <f t="shared" si="39"/>
        <v>0.99704142011834318</v>
      </c>
      <c r="D131" s="25">
        <f t="shared" si="39"/>
        <v>0.99773242630385484</v>
      </c>
      <c r="E131" s="25">
        <f t="shared" si="39"/>
        <v>0.99373695198329859</v>
      </c>
      <c r="F131" s="25">
        <f t="shared" si="39"/>
        <v>0.99141630901287559</v>
      </c>
      <c r="G131" s="25">
        <f t="shared" si="39"/>
        <v>0.99159663865546221</v>
      </c>
      <c r="H131" s="25">
        <f t="shared" si="39"/>
        <v>0.99327354260089684</v>
      </c>
      <c r="I131" s="25">
        <f t="shared" si="39"/>
        <v>0.99481865284974091</v>
      </c>
      <c r="J131" s="25">
        <f t="shared" si="39"/>
        <v>0.98783454987834551</v>
      </c>
      <c r="K131" s="25">
        <f t="shared" si="39"/>
        <v>0.99346405228758172</v>
      </c>
      <c r="L131" s="25">
        <f t="shared" si="39"/>
        <v>0.99509803921568629</v>
      </c>
      <c r="M131" s="25">
        <f t="shared" si="39"/>
        <v>0.99460916442048519</v>
      </c>
      <c r="N131" s="28">
        <f t="shared" si="39"/>
        <v>0.99394795239055878</v>
      </c>
    </row>
    <row r="132" spans="1:14" x14ac:dyDescent="0.2">
      <c r="A132" s="1" t="s">
        <v>166</v>
      </c>
      <c r="B132" s="25">
        <f t="shared" ref="B132:N132" si="40">IF(B71=0,0,B11/B71)</f>
        <v>0.99938195302843014</v>
      </c>
      <c r="C132" s="25">
        <f t="shared" si="40"/>
        <v>0.99786324786324787</v>
      </c>
      <c r="D132" s="25">
        <f t="shared" si="40"/>
        <v>0.99776161163961952</v>
      </c>
      <c r="E132" s="25">
        <f t="shared" si="40"/>
        <v>1</v>
      </c>
      <c r="F132" s="25">
        <f t="shared" si="40"/>
        <v>0.99543610547667338</v>
      </c>
      <c r="G132" s="25">
        <f t="shared" si="40"/>
        <v>0.99867461895294896</v>
      </c>
      <c r="H132" s="25">
        <f t="shared" si="40"/>
        <v>0.99753208292201379</v>
      </c>
      <c r="I132" s="25">
        <f t="shared" si="40"/>
        <v>0.99897540983606559</v>
      </c>
      <c r="J132" s="25">
        <f t="shared" si="40"/>
        <v>0.99735169491525422</v>
      </c>
      <c r="K132" s="25">
        <f t="shared" si="40"/>
        <v>0.99571632555925749</v>
      </c>
      <c r="L132" s="25">
        <f t="shared" si="40"/>
        <v>0.99785292538915726</v>
      </c>
      <c r="M132" s="25">
        <f t="shared" si="40"/>
        <v>0.99877149877149873</v>
      </c>
      <c r="N132" s="28">
        <f t="shared" si="40"/>
        <v>0.99786225485639934</v>
      </c>
    </row>
    <row r="133" spans="1:14" x14ac:dyDescent="0.2">
      <c r="A133" s="1" t="s">
        <v>167</v>
      </c>
      <c r="B133" s="25">
        <f t="shared" ref="B133:N133" si="41">IF(B72=0,0,B12/B72)</f>
        <v>0.86451612903225805</v>
      </c>
      <c r="C133" s="25">
        <f t="shared" si="41"/>
        <v>0.95744680851063835</v>
      </c>
      <c r="D133" s="25">
        <f t="shared" si="41"/>
        <v>0.94871794871794868</v>
      </c>
      <c r="E133" s="25">
        <f t="shared" si="41"/>
        <v>0.97333333333333338</v>
      </c>
      <c r="F133" s="25">
        <f t="shared" si="41"/>
        <v>0.90322580645161288</v>
      </c>
      <c r="G133" s="25">
        <f t="shared" si="41"/>
        <v>0.82781456953642385</v>
      </c>
      <c r="H133" s="25">
        <f t="shared" si="41"/>
        <v>0.95512820512820518</v>
      </c>
      <c r="I133" s="25">
        <f t="shared" si="41"/>
        <v>0.98089171974522293</v>
      </c>
      <c r="J133" s="25">
        <f t="shared" si="41"/>
        <v>0.89403973509933776</v>
      </c>
      <c r="K133" s="25">
        <f t="shared" si="41"/>
        <v>0.91612903225806452</v>
      </c>
      <c r="L133" s="25">
        <f t="shared" si="41"/>
        <v>0.92</v>
      </c>
      <c r="M133" s="25">
        <f t="shared" si="41"/>
        <v>0.90506329113924056</v>
      </c>
      <c r="N133" s="28">
        <f t="shared" si="41"/>
        <v>0.92043596730245236</v>
      </c>
    </row>
    <row r="134" spans="1:14" ht="12" thickBot="1" x14ac:dyDescent="0.25">
      <c r="A134" s="1" t="s">
        <v>168</v>
      </c>
      <c r="B134" s="25">
        <f t="shared" ref="B134:N134" si="42">IF(B73=0,0,B13/B73)</f>
        <v>0.99310344827586206</v>
      </c>
      <c r="C134" s="25">
        <f t="shared" si="42"/>
        <v>1</v>
      </c>
      <c r="D134" s="25">
        <f t="shared" si="42"/>
        <v>1</v>
      </c>
      <c r="E134" s="25">
        <f t="shared" si="42"/>
        <v>0.99683544303797467</v>
      </c>
      <c r="F134" s="25">
        <f t="shared" si="42"/>
        <v>0.99696969696969695</v>
      </c>
      <c r="G134" s="25">
        <f t="shared" si="42"/>
        <v>0.99649122807017543</v>
      </c>
      <c r="H134" s="25">
        <f t="shared" si="42"/>
        <v>1</v>
      </c>
      <c r="I134" s="25">
        <f t="shared" si="42"/>
        <v>1</v>
      </c>
      <c r="J134" s="25">
        <f t="shared" si="42"/>
        <v>1</v>
      </c>
      <c r="K134" s="25">
        <f t="shared" si="42"/>
        <v>0.99697885196374625</v>
      </c>
      <c r="L134" s="25">
        <f t="shared" si="42"/>
        <v>1</v>
      </c>
      <c r="M134" s="25">
        <f t="shared" si="42"/>
        <v>0.99442896935933145</v>
      </c>
      <c r="N134" s="28">
        <f t="shared" si="42"/>
        <v>0.99794502954020037</v>
      </c>
    </row>
    <row r="135" spans="1:14" ht="20.25" thickTop="1" thickBot="1" x14ac:dyDescent="0.25">
      <c r="A135" s="149" t="s">
        <v>22</v>
      </c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</row>
    <row r="136" spans="1:14" ht="12" thickTop="1" x14ac:dyDescent="0.2">
      <c r="A136" s="1" t="s">
        <v>0</v>
      </c>
      <c r="B136" s="1" t="s">
        <v>1</v>
      </c>
      <c r="C136" s="1" t="s">
        <v>2</v>
      </c>
      <c r="D136" s="1" t="s">
        <v>3</v>
      </c>
      <c r="E136" s="1" t="s">
        <v>4</v>
      </c>
      <c r="F136" s="1" t="s">
        <v>5</v>
      </c>
      <c r="G136" s="1" t="s">
        <v>6</v>
      </c>
      <c r="H136" s="1" t="s">
        <v>7</v>
      </c>
      <c r="I136" s="1" t="s">
        <v>8</v>
      </c>
      <c r="J136" s="1" t="s">
        <v>9</v>
      </c>
      <c r="K136" s="1" t="s">
        <v>10</v>
      </c>
      <c r="L136" s="1" t="s">
        <v>11</v>
      </c>
      <c r="M136" s="1" t="s">
        <v>12</v>
      </c>
      <c r="N136" s="2" t="s">
        <v>241</v>
      </c>
    </row>
    <row r="137" spans="1:14" x14ac:dyDescent="0.2">
      <c r="A137" s="1" t="s">
        <v>13</v>
      </c>
      <c r="B137" s="26">
        <f t="shared" ref="B137:N137" si="43">IF(B64=0,0,B28*B$1/B64)</f>
        <v>4.2067147126032696</v>
      </c>
      <c r="C137" s="26">
        <f t="shared" si="43"/>
        <v>3.8106508875739644</v>
      </c>
      <c r="D137" s="26">
        <f t="shared" si="43"/>
        <v>4.1604439959636732</v>
      </c>
      <c r="E137" s="26">
        <f t="shared" si="43"/>
        <v>4.4427244582043341</v>
      </c>
      <c r="F137" s="26">
        <f t="shared" si="43"/>
        <v>4.3440756774090108</v>
      </c>
      <c r="G137" s="26">
        <f t="shared" si="43"/>
        <v>4.0419657647708451</v>
      </c>
      <c r="H137" s="26">
        <f t="shared" si="43"/>
        <v>4.0270569620253163</v>
      </c>
      <c r="I137" s="26">
        <f t="shared" si="43"/>
        <v>4.1200642054574637</v>
      </c>
      <c r="J137" s="26">
        <f t="shared" si="43"/>
        <v>4.142550024805689</v>
      </c>
      <c r="K137" s="26">
        <f t="shared" si="43"/>
        <v>4.1978173993237009</v>
      </c>
      <c r="L137" s="26">
        <f t="shared" si="43"/>
        <v>3.8807429130009776</v>
      </c>
      <c r="M137" s="26">
        <f t="shared" si="43"/>
        <v>3.7949700199866756</v>
      </c>
      <c r="N137" s="29">
        <f t="shared" si="43"/>
        <v>49.1595738723857</v>
      </c>
    </row>
    <row r="138" spans="1:14" x14ac:dyDescent="0.2">
      <c r="A138" s="1" t="s">
        <v>14</v>
      </c>
      <c r="B138" s="26">
        <f t="shared" ref="B138:N138" si="44">IF(B65=0,0,B29*B$1/B65)</f>
        <v>3.9459459459459461</v>
      </c>
      <c r="C138" s="26">
        <f t="shared" si="44"/>
        <v>3.6925996204933584</v>
      </c>
      <c r="D138" s="26">
        <f t="shared" si="44"/>
        <v>4.2175043327556327</v>
      </c>
      <c r="E138" s="26">
        <f t="shared" si="44"/>
        <v>4.3191673894189071</v>
      </c>
      <c r="F138" s="26">
        <f t="shared" si="44"/>
        <v>3.5709515859766277</v>
      </c>
      <c r="G138" s="26">
        <f t="shared" si="44"/>
        <v>3.7040280210157617</v>
      </c>
      <c r="H138" s="26">
        <f t="shared" si="44"/>
        <v>3.5109060402684564</v>
      </c>
      <c r="I138" s="26">
        <f t="shared" si="44"/>
        <v>3.736842105263158</v>
      </c>
      <c r="J138" s="26">
        <f t="shared" si="44"/>
        <v>3.126094570928196</v>
      </c>
      <c r="K138" s="26">
        <f t="shared" si="44"/>
        <v>3.1600673967986519</v>
      </c>
      <c r="L138" s="26">
        <f t="shared" si="44"/>
        <v>3.4007029876977155</v>
      </c>
      <c r="M138" s="26">
        <f t="shared" si="44"/>
        <v>3.3598645215918714</v>
      </c>
      <c r="N138" s="29">
        <f t="shared" si="44"/>
        <v>43.723135727679214</v>
      </c>
    </row>
    <row r="139" spans="1:14" x14ac:dyDescent="0.2">
      <c r="A139" s="1" t="s">
        <v>15</v>
      </c>
      <c r="B139" s="26">
        <f t="shared" ref="B139:N139" si="45">IF(B66=0,0,B30*B$1/B66)</f>
        <v>3.691090757701915</v>
      </c>
      <c r="C139" s="26">
        <f t="shared" si="45"/>
        <v>3.8717948717948718</v>
      </c>
      <c r="D139" s="26">
        <f t="shared" si="45"/>
        <v>3.3076923076923075</v>
      </c>
      <c r="E139" s="26">
        <f t="shared" si="45"/>
        <v>3.8205128205128207</v>
      </c>
      <c r="F139" s="26">
        <f t="shared" si="45"/>
        <v>4.0842880523731591</v>
      </c>
      <c r="G139" s="26">
        <f t="shared" si="45"/>
        <v>3.7179487179487181</v>
      </c>
      <c r="H139" s="26">
        <f t="shared" si="45"/>
        <v>3.7179487179487181</v>
      </c>
      <c r="I139" s="26">
        <f t="shared" si="45"/>
        <v>4.0647302904564313</v>
      </c>
      <c r="J139" s="26">
        <f t="shared" si="45"/>
        <v>4.5351867940920938</v>
      </c>
      <c r="K139" s="26">
        <f t="shared" si="45"/>
        <v>4.6280233527939947</v>
      </c>
      <c r="L139" s="26">
        <f t="shared" si="45"/>
        <v>4.5384615384615383</v>
      </c>
      <c r="M139" s="26">
        <f t="shared" si="45"/>
        <v>3.9743589743589745</v>
      </c>
      <c r="N139" s="29">
        <f t="shared" si="45"/>
        <v>47.940451889913426</v>
      </c>
    </row>
    <row r="140" spans="1:14" x14ac:dyDescent="0.2">
      <c r="A140" s="1" t="s">
        <v>16</v>
      </c>
      <c r="B140" s="26">
        <f t="shared" ref="B140:N140" si="46">IF(B67=0,0,B31*B$1/B67)</f>
        <v>1.7804878048780488</v>
      </c>
      <c r="C140" s="26">
        <f t="shared" si="46"/>
        <v>1.2926829268292683</v>
      </c>
      <c r="D140" s="26">
        <f t="shared" si="46"/>
        <v>1.6341463414634145</v>
      </c>
      <c r="E140" s="26">
        <f t="shared" si="46"/>
        <v>1.7317073170731707</v>
      </c>
      <c r="F140" s="26">
        <f t="shared" si="46"/>
        <v>2.0487804878048781</v>
      </c>
      <c r="G140" s="26">
        <f t="shared" si="46"/>
        <v>1.9268292682926829</v>
      </c>
      <c r="H140" s="26">
        <f t="shared" si="46"/>
        <v>1.9589257503949447</v>
      </c>
      <c r="I140" s="26">
        <f t="shared" si="46"/>
        <v>2.4409448818897639</v>
      </c>
      <c r="J140" s="26">
        <f t="shared" si="46"/>
        <v>2.1986970684039089</v>
      </c>
      <c r="K140" s="26">
        <f t="shared" si="46"/>
        <v>1.7560975609756098</v>
      </c>
      <c r="L140" s="26">
        <f t="shared" si="46"/>
        <v>1.4146341463414633</v>
      </c>
      <c r="M140" s="26">
        <f t="shared" si="46"/>
        <v>1.7073170731707317</v>
      </c>
      <c r="N140" s="29">
        <f t="shared" si="46"/>
        <v>21.889750618439528</v>
      </c>
    </row>
    <row r="141" spans="1:14" x14ac:dyDescent="0.2">
      <c r="A141" s="1" t="s">
        <v>17</v>
      </c>
      <c r="B141" s="26">
        <f t="shared" ref="B141:N141" si="47">IF(B68=0,0,B32*B$1/B68)</f>
        <v>3.3</v>
      </c>
      <c r="C141" s="26">
        <f t="shared" si="47"/>
        <v>3.1</v>
      </c>
      <c r="D141" s="26">
        <f t="shared" si="47"/>
        <v>3.5884244372990355</v>
      </c>
      <c r="E141" s="26">
        <f t="shared" si="47"/>
        <v>4.8837209302325579</v>
      </c>
      <c r="F141" s="26">
        <f t="shared" si="47"/>
        <v>4.2</v>
      </c>
      <c r="G141" s="26">
        <f t="shared" si="47"/>
        <v>4.2</v>
      </c>
      <c r="H141" s="26">
        <f t="shared" si="47"/>
        <v>3.0677083333333335</v>
      </c>
      <c r="I141" s="26">
        <f t="shared" si="47"/>
        <v>3.2727272727272729</v>
      </c>
      <c r="J141" s="26">
        <f t="shared" si="47"/>
        <v>3.2727272727272729</v>
      </c>
      <c r="K141" s="26">
        <f t="shared" si="47"/>
        <v>3.8181818181818183</v>
      </c>
      <c r="L141" s="26">
        <f t="shared" si="47"/>
        <v>3.0909090909090908</v>
      </c>
      <c r="M141" s="26">
        <f t="shared" si="47"/>
        <v>2.3636363636363638</v>
      </c>
      <c r="N141" s="29">
        <f t="shared" si="47"/>
        <v>41.872905387986592</v>
      </c>
    </row>
    <row r="142" spans="1:14" x14ac:dyDescent="0.2">
      <c r="A142" s="66" t="s">
        <v>211</v>
      </c>
      <c r="B142" s="26">
        <f t="shared" ref="B142:N142" si="48">IF(B69=0,0,B33*B$1/B69)</f>
        <v>22.111888111888113</v>
      </c>
      <c r="C142" s="73">
        <f t="shared" si="48"/>
        <v>18.260869565217391</v>
      </c>
      <c r="D142" s="73">
        <f t="shared" si="48"/>
        <v>21.565217391304348</v>
      </c>
      <c r="E142" s="73">
        <f t="shared" si="48"/>
        <v>22.407407407407408</v>
      </c>
      <c r="F142" s="73">
        <f t="shared" si="48"/>
        <v>21.36723163841808</v>
      </c>
      <c r="G142" s="73">
        <f t="shared" si="48"/>
        <v>21.176470588235293</v>
      </c>
      <c r="H142" s="73">
        <f t="shared" si="48"/>
        <v>22.261744966442954</v>
      </c>
      <c r="I142" s="73">
        <f t="shared" si="48"/>
        <v>19.805555555555557</v>
      </c>
      <c r="J142" s="73">
        <f t="shared" si="48"/>
        <v>18.841463414634145</v>
      </c>
      <c r="K142" s="73">
        <f t="shared" si="48"/>
        <v>21.7</v>
      </c>
      <c r="L142" s="73">
        <f t="shared" si="48"/>
        <v>18.60576923076923</v>
      </c>
      <c r="M142" s="73">
        <f t="shared" si="48"/>
        <v>16.995614035087719</v>
      </c>
      <c r="N142" s="74">
        <f t="shared" si="48"/>
        <v>242.97653958944281</v>
      </c>
    </row>
    <row r="143" spans="1:14" x14ac:dyDescent="0.2">
      <c r="A143" s="1" t="s">
        <v>165</v>
      </c>
      <c r="B143" s="26">
        <f t="shared" ref="B143:N143" si="49">IF(B70=0,0,B34*B$1/B70)</f>
        <v>19.855696202531647</v>
      </c>
      <c r="C143" s="26">
        <f t="shared" si="49"/>
        <v>20.295857988165679</v>
      </c>
      <c r="D143" s="26">
        <f t="shared" si="49"/>
        <v>20.034013605442176</v>
      </c>
      <c r="E143" s="26">
        <f t="shared" si="49"/>
        <v>19.603340292275576</v>
      </c>
      <c r="F143" s="26">
        <f t="shared" si="49"/>
        <v>18.892703862660944</v>
      </c>
      <c r="G143" s="26">
        <f t="shared" si="49"/>
        <v>18.235294117647058</v>
      </c>
      <c r="H143" s="26">
        <f t="shared" si="49"/>
        <v>18.419282511210763</v>
      </c>
      <c r="I143" s="26">
        <f t="shared" si="49"/>
        <v>19.435233160621763</v>
      </c>
      <c r="J143" s="26">
        <f t="shared" si="49"/>
        <v>18.467153284671532</v>
      </c>
      <c r="K143" s="26">
        <f t="shared" si="49"/>
        <v>18.235294117647058</v>
      </c>
      <c r="L143" s="26">
        <f t="shared" si="49"/>
        <v>17.205882352941178</v>
      </c>
      <c r="M143" s="26">
        <f t="shared" si="49"/>
        <v>19.134770889487871</v>
      </c>
      <c r="N143" s="29">
        <f t="shared" si="49"/>
        <v>227.52672987694169</v>
      </c>
    </row>
    <row r="144" spans="1:14" x14ac:dyDescent="0.2">
      <c r="A144" s="1" t="s">
        <v>166</v>
      </c>
      <c r="B144" s="26">
        <f t="shared" ref="B144:N144" si="50">IF(B71=0,0,B35*B$1/B71)</f>
        <v>8.2385661310259586</v>
      </c>
      <c r="C144" s="26">
        <f t="shared" si="50"/>
        <v>7.817663817663818</v>
      </c>
      <c r="D144" s="26">
        <f t="shared" si="50"/>
        <v>7.9625069949636265</v>
      </c>
      <c r="E144" s="26">
        <f t="shared" si="50"/>
        <v>7.898305084745763</v>
      </c>
      <c r="F144" s="26">
        <f t="shared" si="50"/>
        <v>8.1115618661257614</v>
      </c>
      <c r="G144" s="26">
        <f t="shared" si="50"/>
        <v>8.7673956262425445</v>
      </c>
      <c r="H144" s="26">
        <f t="shared" si="50"/>
        <v>7.8035538005923</v>
      </c>
      <c r="I144" s="26">
        <f t="shared" si="50"/>
        <v>7.8452868852459012</v>
      </c>
      <c r="J144" s="26">
        <f t="shared" si="50"/>
        <v>8.2627118644067803</v>
      </c>
      <c r="K144" s="26">
        <f t="shared" si="50"/>
        <v>7.9971442170395051</v>
      </c>
      <c r="L144" s="26">
        <f t="shared" si="50"/>
        <v>8.1964573268921104</v>
      </c>
      <c r="M144" s="26">
        <f t="shared" si="50"/>
        <v>8.5687960687960683</v>
      </c>
      <c r="N144" s="29">
        <f t="shared" si="50"/>
        <v>97.178408774049629</v>
      </c>
    </row>
    <row r="145" spans="1:14" x14ac:dyDescent="0.2">
      <c r="A145" s="1" t="s">
        <v>167</v>
      </c>
      <c r="B145" s="26">
        <f t="shared" ref="B145:N145" si="51">IF(B72=0,0,B36*B$1/B72)</f>
        <v>4.8</v>
      </c>
      <c r="C145" s="26">
        <f t="shared" si="51"/>
        <v>3.5744680851063828</v>
      </c>
      <c r="D145" s="26">
        <f t="shared" si="51"/>
        <v>4.7692307692307692</v>
      </c>
      <c r="E145" s="26">
        <f t="shared" si="51"/>
        <v>6</v>
      </c>
      <c r="F145" s="26">
        <f t="shared" si="51"/>
        <v>7.4</v>
      </c>
      <c r="G145" s="26">
        <f t="shared" si="51"/>
        <v>5.5629139072847682</v>
      </c>
      <c r="H145" s="26">
        <f t="shared" si="51"/>
        <v>5.166666666666667</v>
      </c>
      <c r="I145" s="26">
        <f t="shared" si="51"/>
        <v>4.1464968152866239</v>
      </c>
      <c r="J145" s="26">
        <f t="shared" si="51"/>
        <v>5.5629139072847682</v>
      </c>
      <c r="K145" s="26">
        <f t="shared" si="51"/>
        <v>3.6</v>
      </c>
      <c r="L145" s="26">
        <f t="shared" si="51"/>
        <v>4.5999999999999996</v>
      </c>
      <c r="M145" s="26">
        <f t="shared" si="51"/>
        <v>6.2784810126582276</v>
      </c>
      <c r="N145" s="29">
        <f t="shared" si="51"/>
        <v>61.463215258855584</v>
      </c>
    </row>
    <row r="146" spans="1:14" ht="12" thickBot="1" x14ac:dyDescent="0.25">
      <c r="A146" s="1" t="s">
        <v>168</v>
      </c>
      <c r="B146" s="26">
        <f t="shared" ref="B146:N146" si="52">IF(B73=0,0,B37*B$1/B73)</f>
        <v>22.020689655172415</v>
      </c>
      <c r="C146" s="26">
        <f t="shared" si="52"/>
        <v>18.06451612903226</v>
      </c>
      <c r="D146" s="26">
        <f t="shared" si="52"/>
        <v>20.193661971830984</v>
      </c>
      <c r="E146" s="26">
        <f t="shared" si="52"/>
        <v>20.88607594936709</v>
      </c>
      <c r="F146" s="26">
        <f t="shared" si="52"/>
        <v>21.7</v>
      </c>
      <c r="G146" s="26">
        <f t="shared" si="52"/>
        <v>19.789473684210527</v>
      </c>
      <c r="H146" s="26">
        <f t="shared" si="52"/>
        <v>19.70262390670554</v>
      </c>
      <c r="I146" s="26">
        <f t="shared" si="52"/>
        <v>19.565573770491802</v>
      </c>
      <c r="J146" s="26">
        <f t="shared" si="52"/>
        <v>19.663865546218489</v>
      </c>
      <c r="K146" s="26">
        <f t="shared" si="52"/>
        <v>16.296072507552871</v>
      </c>
      <c r="L146" s="26">
        <f t="shared" si="52"/>
        <v>17.422096317280452</v>
      </c>
      <c r="M146" s="26">
        <f t="shared" si="52"/>
        <v>19.342618384401113</v>
      </c>
      <c r="N146" s="29">
        <f t="shared" si="52"/>
        <v>234.02003596198304</v>
      </c>
    </row>
    <row r="147" spans="1:14" ht="20.25" thickTop="1" thickBot="1" x14ac:dyDescent="0.25">
      <c r="A147" s="151" t="s">
        <v>364</v>
      </c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</row>
    <row r="148" spans="1:14" ht="12" thickTop="1" x14ac:dyDescent="0.2">
      <c r="A148" s="1" t="s">
        <v>0</v>
      </c>
      <c r="B148" s="1" t="s">
        <v>1</v>
      </c>
      <c r="C148" s="1" t="s">
        <v>2</v>
      </c>
      <c r="D148" s="1" t="s">
        <v>3</v>
      </c>
      <c r="E148" s="1" t="s">
        <v>4</v>
      </c>
      <c r="F148" s="1" t="s">
        <v>5</v>
      </c>
      <c r="G148" s="1" t="s">
        <v>6</v>
      </c>
      <c r="H148" s="1" t="s">
        <v>7</v>
      </c>
      <c r="I148" s="1" t="s">
        <v>8</v>
      </c>
      <c r="J148" s="1" t="s">
        <v>9</v>
      </c>
      <c r="K148" s="1" t="s">
        <v>10</v>
      </c>
      <c r="L148" s="1" t="s">
        <v>11</v>
      </c>
      <c r="M148" s="1" t="s">
        <v>12</v>
      </c>
      <c r="N148" s="2" t="s">
        <v>241</v>
      </c>
    </row>
    <row r="149" spans="1:14" x14ac:dyDescent="0.2">
      <c r="A149" s="1" t="s">
        <v>13</v>
      </c>
      <c r="B149" s="64">
        <f t="shared" ref="B149:N149" si="53">IF(B113=0,0,(1-B113)*B101/B113)</f>
        <v>-2.4844559585492232</v>
      </c>
      <c r="C149" s="64">
        <f t="shared" si="53"/>
        <v>-2.4101449275362317</v>
      </c>
      <c r="D149" s="64">
        <f t="shared" si="53"/>
        <v>-2.7243107769423553</v>
      </c>
      <c r="E149" s="64">
        <f t="shared" si="53"/>
        <v>-2.5180023228803718</v>
      </c>
      <c r="F149" s="64">
        <f t="shared" si="53"/>
        <v>-2.8112128146453088</v>
      </c>
      <c r="G149" s="64">
        <f t="shared" si="53"/>
        <v>-2.4426229508196724</v>
      </c>
      <c r="H149" s="64">
        <f t="shared" si="53"/>
        <v>-3.1120584652862364</v>
      </c>
      <c r="I149" s="64">
        <f t="shared" si="53"/>
        <v>-2.9746376811594204</v>
      </c>
      <c r="J149" s="64">
        <f t="shared" si="53"/>
        <v>-2.8682634730538927</v>
      </c>
      <c r="K149" s="64">
        <f t="shared" si="53"/>
        <v>-3.0669693530079458</v>
      </c>
      <c r="L149" s="64">
        <f t="shared" si="53"/>
        <v>-3.0944584382871541</v>
      </c>
      <c r="M149" s="64">
        <f t="shared" si="53"/>
        <v>-3.0054421768707478</v>
      </c>
      <c r="N149" s="65">
        <f t="shared" si="53"/>
        <v>-2.8010601808543809</v>
      </c>
    </row>
    <row r="150" spans="1:14" x14ac:dyDescent="0.2">
      <c r="A150" s="1" t="s">
        <v>14</v>
      </c>
      <c r="B150" s="64">
        <f t="shared" ref="B150:N150" si="54">IF(B114=0,0,(1-B114)*B102/B114)</f>
        <v>1.2808219178082196</v>
      </c>
      <c r="C150" s="64">
        <f t="shared" si="54"/>
        <v>1.2302158273381292</v>
      </c>
      <c r="D150" s="64">
        <f t="shared" si="54"/>
        <v>0.96815286624203867</v>
      </c>
      <c r="E150" s="64">
        <f t="shared" si="54"/>
        <v>0.63253012048192792</v>
      </c>
      <c r="F150" s="64">
        <f t="shared" si="54"/>
        <v>0.96376811594202938</v>
      </c>
      <c r="G150" s="64">
        <f t="shared" si="54"/>
        <v>0.98581560283687986</v>
      </c>
      <c r="H150" s="64">
        <f t="shared" si="54"/>
        <v>0.78518518518518554</v>
      </c>
      <c r="I150" s="64">
        <f t="shared" si="54"/>
        <v>0.78169014084507071</v>
      </c>
      <c r="J150" s="64">
        <f t="shared" si="54"/>
        <v>1.1428571428571423</v>
      </c>
      <c r="K150" s="64">
        <f t="shared" si="54"/>
        <v>0.98347107438016534</v>
      </c>
      <c r="L150" s="64">
        <f t="shared" si="54"/>
        <v>0.62790697674418638</v>
      </c>
      <c r="M150" s="64">
        <f t="shared" si="54"/>
        <v>0.90625000000000011</v>
      </c>
      <c r="N150" s="65">
        <f t="shared" si="54"/>
        <v>0.93678506923540072</v>
      </c>
    </row>
    <row r="151" spans="1:14" x14ac:dyDescent="0.2">
      <c r="A151" s="1" t="s">
        <v>15</v>
      </c>
      <c r="B151" s="64">
        <f t="shared" ref="B151:N151" si="55">IF(B115=0,0,(1-B115)*B103/B115)</f>
        <v>1.3496503496503496</v>
      </c>
      <c r="C151" s="64">
        <f t="shared" si="55"/>
        <v>0.96688741721854354</v>
      </c>
      <c r="D151" s="64">
        <f t="shared" si="55"/>
        <v>1.1162790697674423</v>
      </c>
      <c r="E151" s="64">
        <f t="shared" si="55"/>
        <v>1.241610738255033</v>
      </c>
      <c r="F151" s="64">
        <f t="shared" si="55"/>
        <v>1.2981366459627326</v>
      </c>
      <c r="G151" s="64">
        <f t="shared" si="55"/>
        <v>1.3517241379310341</v>
      </c>
      <c r="H151" s="64">
        <f t="shared" si="55"/>
        <v>0.94482758620689644</v>
      </c>
      <c r="I151" s="64">
        <f t="shared" si="55"/>
        <v>1.1265822784810127</v>
      </c>
      <c r="J151" s="64">
        <f t="shared" si="55"/>
        <v>0.95402298850574729</v>
      </c>
      <c r="K151" s="64">
        <f t="shared" si="55"/>
        <v>0.73184357541899414</v>
      </c>
      <c r="L151" s="64">
        <f t="shared" si="55"/>
        <v>0.62146892655367225</v>
      </c>
      <c r="M151" s="64">
        <f t="shared" si="55"/>
        <v>0.42580645161290281</v>
      </c>
      <c r="N151" s="65">
        <f t="shared" si="55"/>
        <v>0.9973204715969991</v>
      </c>
    </row>
    <row r="152" spans="1:14" x14ac:dyDescent="0.2">
      <c r="A152" s="1" t="s">
        <v>16</v>
      </c>
      <c r="B152" s="64">
        <f t="shared" ref="B152:N152" si="56">IF(B116=0,0,(1-B116)*B104/B116)</f>
        <v>0.20547945205479376</v>
      </c>
      <c r="C152" s="64">
        <f t="shared" si="56"/>
        <v>0.26415094339622586</v>
      </c>
      <c r="D152" s="64">
        <f t="shared" si="56"/>
        <v>0.35820895522388041</v>
      </c>
      <c r="E152" s="64">
        <f t="shared" si="56"/>
        <v>0.4084507042253514</v>
      </c>
      <c r="F152" s="64">
        <f t="shared" si="56"/>
        <v>0.24999999999999969</v>
      </c>
      <c r="G152" s="64">
        <f t="shared" si="56"/>
        <v>0.25316455696202589</v>
      </c>
      <c r="H152" s="64">
        <f t="shared" si="56"/>
        <v>0.15000000000000074</v>
      </c>
      <c r="I152" s="64">
        <f t="shared" si="56"/>
        <v>0.25000000000000039</v>
      </c>
      <c r="J152" s="64">
        <f t="shared" si="56"/>
        <v>2.2222222222221994E-2</v>
      </c>
      <c r="K152" s="64">
        <f t="shared" si="56"/>
        <v>0.93055555555555625</v>
      </c>
      <c r="L152" s="64">
        <f t="shared" si="56"/>
        <v>0.77586206896551757</v>
      </c>
      <c r="M152" s="64">
        <f t="shared" si="56"/>
        <v>0.45714285714285768</v>
      </c>
      <c r="N152" s="65">
        <f t="shared" si="56"/>
        <v>0.34113712374581906</v>
      </c>
    </row>
    <row r="153" spans="1:14" x14ac:dyDescent="0.2">
      <c r="A153" s="1" t="s">
        <v>17</v>
      </c>
      <c r="B153" s="64">
        <f t="shared" ref="B153:N153" si="57">IF(B117=0,0,(1-B117)*B105/B117)</f>
        <v>0.48484848484848497</v>
      </c>
      <c r="C153" s="64">
        <f t="shared" si="57"/>
        <v>0.32258064516129015</v>
      </c>
      <c r="D153" s="64">
        <f t="shared" si="57"/>
        <v>0.4166666666666663</v>
      </c>
      <c r="E153" s="64">
        <f t="shared" si="57"/>
        <v>0.16326530612244866</v>
      </c>
      <c r="F153" s="64">
        <f t="shared" si="57"/>
        <v>0.28571428571428559</v>
      </c>
      <c r="G153" s="64">
        <f t="shared" si="57"/>
        <v>0.26190476190476158</v>
      </c>
      <c r="H153" s="64">
        <f t="shared" si="57"/>
        <v>0.55263157894736858</v>
      </c>
      <c r="I153" s="64">
        <f t="shared" si="57"/>
        <v>0.27777777777777751</v>
      </c>
      <c r="J153" s="64">
        <f t="shared" si="57"/>
        <v>0.1666666666666668</v>
      </c>
      <c r="K153" s="64">
        <f t="shared" si="57"/>
        <v>0.19047619047619013</v>
      </c>
      <c r="L153" s="64">
        <f t="shared" si="57"/>
        <v>0.20588235294117632</v>
      </c>
      <c r="M153" s="64">
        <f t="shared" si="57"/>
        <v>0.42307692307692352</v>
      </c>
      <c r="N153" s="65">
        <f t="shared" si="57"/>
        <v>0.30337078651685406</v>
      </c>
    </row>
    <row r="154" spans="1:14" x14ac:dyDescent="0.2">
      <c r="A154" s="66" t="s">
        <v>211</v>
      </c>
      <c r="B154" s="64">
        <f t="shared" ref="B154:N154" si="58">IF(B118=0,0,(1-B118)*B106/B118)</f>
        <v>0</v>
      </c>
      <c r="C154" s="64">
        <f t="shared" si="58"/>
        <v>0</v>
      </c>
      <c r="D154" s="64">
        <f t="shared" si="58"/>
        <v>0</v>
      </c>
      <c r="E154" s="64">
        <f t="shared" si="58"/>
        <v>0</v>
      </c>
      <c r="F154" s="64">
        <f t="shared" si="58"/>
        <v>0</v>
      </c>
      <c r="G154" s="64">
        <f t="shared" si="58"/>
        <v>0</v>
      </c>
      <c r="H154" s="64">
        <f t="shared" si="58"/>
        <v>0</v>
      </c>
      <c r="I154" s="64">
        <f t="shared" si="58"/>
        <v>0</v>
      </c>
      <c r="J154" s="64">
        <f t="shared" si="58"/>
        <v>0</v>
      </c>
      <c r="K154" s="64">
        <f t="shared" si="58"/>
        <v>0</v>
      </c>
      <c r="L154" s="64">
        <f t="shared" si="58"/>
        <v>0</v>
      </c>
      <c r="M154" s="64">
        <f t="shared" si="58"/>
        <v>0</v>
      </c>
      <c r="N154" s="65">
        <f t="shared" si="58"/>
        <v>0</v>
      </c>
    </row>
    <row r="155" spans="1:14" x14ac:dyDescent="0.2">
      <c r="A155" s="1" t="s">
        <v>165</v>
      </c>
      <c r="B155" s="64">
        <f t="shared" ref="B155:N155" si="59">IF(B119=0,0,(1-B119)*B107/B119)</f>
        <v>0</v>
      </c>
      <c r="C155" s="64">
        <f t="shared" si="59"/>
        <v>0</v>
      </c>
      <c r="D155" s="64">
        <f t="shared" si="59"/>
        <v>0</v>
      </c>
      <c r="E155" s="64">
        <f t="shared" si="59"/>
        <v>0</v>
      </c>
      <c r="F155" s="64">
        <f t="shared" si="59"/>
        <v>0</v>
      </c>
      <c r="G155" s="64">
        <f t="shared" si="59"/>
        <v>0</v>
      </c>
      <c r="H155" s="64">
        <f t="shared" si="59"/>
        <v>0</v>
      </c>
      <c r="I155" s="64">
        <f t="shared" si="59"/>
        <v>0</v>
      </c>
      <c r="J155" s="64">
        <f t="shared" si="59"/>
        <v>0</v>
      </c>
      <c r="K155" s="64">
        <f t="shared" si="59"/>
        <v>0</v>
      </c>
      <c r="L155" s="64">
        <f t="shared" si="59"/>
        <v>0</v>
      </c>
      <c r="M155" s="64">
        <f t="shared" si="59"/>
        <v>0</v>
      </c>
      <c r="N155" s="65">
        <f t="shared" si="59"/>
        <v>0</v>
      </c>
    </row>
    <row r="156" spans="1:14" x14ac:dyDescent="0.2">
      <c r="A156" s="1" t="s">
        <v>166</v>
      </c>
      <c r="B156" s="64">
        <f t="shared" ref="B156:N156" si="60">IF(B120=0,0,(1-B120)*B108/B120)</f>
        <v>0</v>
      </c>
      <c r="C156" s="64">
        <f t="shared" si="60"/>
        <v>0</v>
      </c>
      <c r="D156" s="64">
        <f t="shared" si="60"/>
        <v>0</v>
      </c>
      <c r="E156" s="64">
        <f t="shared" si="60"/>
        <v>0</v>
      </c>
      <c r="F156" s="64">
        <f t="shared" si="60"/>
        <v>0</v>
      </c>
      <c r="G156" s="64">
        <f t="shared" si="60"/>
        <v>0</v>
      </c>
      <c r="H156" s="64">
        <f t="shared" si="60"/>
        <v>0</v>
      </c>
      <c r="I156" s="64">
        <f t="shared" si="60"/>
        <v>0</v>
      </c>
      <c r="J156" s="64">
        <f t="shared" si="60"/>
        <v>0</v>
      </c>
      <c r="K156" s="64">
        <f t="shared" si="60"/>
        <v>0</v>
      </c>
      <c r="L156" s="64">
        <f t="shared" si="60"/>
        <v>0</v>
      </c>
      <c r="M156" s="64">
        <f t="shared" si="60"/>
        <v>0</v>
      </c>
      <c r="N156" s="65">
        <f t="shared" si="60"/>
        <v>0</v>
      </c>
    </row>
    <row r="157" spans="1:14" x14ac:dyDescent="0.2">
      <c r="A157" s="1" t="s">
        <v>167</v>
      </c>
      <c r="B157" s="64">
        <f t="shared" ref="B157:N157" si="61">IF(B121=0,0,(1-B121)*B109/B121)</f>
        <v>0</v>
      </c>
      <c r="C157" s="64">
        <f t="shared" si="61"/>
        <v>0</v>
      </c>
      <c r="D157" s="64">
        <f t="shared" si="61"/>
        <v>0</v>
      </c>
      <c r="E157" s="64">
        <f t="shared" si="61"/>
        <v>0</v>
      </c>
      <c r="F157" s="64">
        <f t="shared" si="61"/>
        <v>0</v>
      </c>
      <c r="G157" s="64">
        <f t="shared" si="61"/>
        <v>0</v>
      </c>
      <c r="H157" s="64">
        <f t="shared" si="61"/>
        <v>0</v>
      </c>
      <c r="I157" s="64">
        <f t="shared" si="61"/>
        <v>0</v>
      </c>
      <c r="J157" s="64">
        <f t="shared" si="61"/>
        <v>0</v>
      </c>
      <c r="K157" s="64">
        <f t="shared" si="61"/>
        <v>0</v>
      </c>
      <c r="L157" s="64">
        <f t="shared" si="61"/>
        <v>0</v>
      </c>
      <c r="M157" s="64">
        <f t="shared" si="61"/>
        <v>0</v>
      </c>
      <c r="N157" s="65">
        <f t="shared" si="61"/>
        <v>0</v>
      </c>
    </row>
    <row r="158" spans="1:14" x14ac:dyDescent="0.2">
      <c r="A158" s="1" t="s">
        <v>168</v>
      </c>
      <c r="B158" s="64">
        <f t="shared" ref="B158:N158" si="62">IF(B122=0,0,(1-B122)*B110/B122)</f>
        <v>0</v>
      </c>
      <c r="C158" s="64">
        <f t="shared" si="62"/>
        <v>0</v>
      </c>
      <c r="D158" s="64">
        <f t="shared" si="62"/>
        <v>0</v>
      </c>
      <c r="E158" s="64">
        <f t="shared" si="62"/>
        <v>0</v>
      </c>
      <c r="F158" s="64">
        <f t="shared" si="62"/>
        <v>0</v>
      </c>
      <c r="G158" s="64">
        <f t="shared" si="62"/>
        <v>0</v>
      </c>
      <c r="H158" s="64">
        <f t="shared" si="62"/>
        <v>0</v>
      </c>
      <c r="I158" s="64">
        <f t="shared" si="62"/>
        <v>0</v>
      </c>
      <c r="J158" s="64">
        <f t="shared" si="62"/>
        <v>0</v>
      </c>
      <c r="K158" s="64">
        <f t="shared" si="62"/>
        <v>0</v>
      </c>
      <c r="L158" s="64">
        <f t="shared" si="62"/>
        <v>0</v>
      </c>
      <c r="M158" s="64">
        <f t="shared" si="62"/>
        <v>0</v>
      </c>
      <c r="N158" s="65">
        <f t="shared" si="62"/>
        <v>0</v>
      </c>
    </row>
  </sheetData>
  <mergeCells count="13">
    <mergeCell ref="A147:N147"/>
    <mergeCell ref="A62:N62"/>
    <mergeCell ref="A2:N2"/>
    <mergeCell ref="A26:N26"/>
    <mergeCell ref="A38:N38"/>
    <mergeCell ref="A50:N50"/>
    <mergeCell ref="A14:N14"/>
    <mergeCell ref="A87:N87"/>
    <mergeCell ref="A99:N99"/>
    <mergeCell ref="A123:N123"/>
    <mergeCell ref="A135:N135"/>
    <mergeCell ref="A74:N74"/>
    <mergeCell ref="A111:N11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3 N113 B149 N149" calculatedColumn="1"/>
  </ignoredErrors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66FFFF"/>
  </sheetPr>
  <dimension ref="A1:N15"/>
  <sheetViews>
    <sheetView workbookViewId="0">
      <selection sqref="A1:M1"/>
    </sheetView>
  </sheetViews>
  <sheetFormatPr defaultRowHeight="11.25" x14ac:dyDescent="0.2"/>
  <cols>
    <col min="1" max="1" width="20.5703125" style="1" bestFit="1" customWidth="1"/>
    <col min="2" max="16384" width="9.140625" style="1"/>
  </cols>
  <sheetData>
    <row r="1" spans="1:14" ht="20.25" thickTop="1" thickBot="1" x14ac:dyDescent="0.35">
      <c r="A1" s="183" t="s">
        <v>55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4" ht="16.5" thickTop="1" thickBot="1" x14ac:dyDescent="0.3">
      <c r="A2" s="188" t="s">
        <v>265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4" ht="12" thickTop="1" x14ac:dyDescent="0.2">
      <c r="A3" s="1" t="s">
        <v>56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4" x14ac:dyDescent="0.2">
      <c r="A4" s="1" t="s">
        <v>57</v>
      </c>
      <c r="B4" s="12">
        <v>82</v>
      </c>
      <c r="C4" s="12">
        <v>73</v>
      </c>
      <c r="D4" s="12">
        <v>82</v>
      </c>
      <c r="E4" s="12">
        <v>73</v>
      </c>
      <c r="F4" s="12">
        <v>78</v>
      </c>
      <c r="G4" s="12">
        <v>72</v>
      </c>
      <c r="H4" s="12">
        <v>39</v>
      </c>
      <c r="I4" s="12">
        <v>65</v>
      </c>
      <c r="J4" s="12">
        <v>67</v>
      </c>
      <c r="K4" s="12">
        <v>57</v>
      </c>
      <c r="L4" s="12">
        <v>27</v>
      </c>
      <c r="M4" s="12">
        <v>8</v>
      </c>
    </row>
    <row r="5" spans="1:14" ht="12" thickBot="1" x14ac:dyDescent="0.25"/>
    <row r="6" spans="1:14" ht="20.25" thickTop="1" thickBot="1" x14ac:dyDescent="0.35">
      <c r="A6" s="183" t="s">
        <v>58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</row>
    <row r="7" spans="1:14" ht="16.5" thickTop="1" thickBot="1" x14ac:dyDescent="0.3">
      <c r="A7" s="188" t="s">
        <v>266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</row>
    <row r="8" spans="1:14" ht="12" thickTop="1" x14ac:dyDescent="0.2">
      <c r="A8" s="1" t="s">
        <v>56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56" t="s">
        <v>241</v>
      </c>
    </row>
    <row r="9" spans="1:14" x14ac:dyDescent="0.2">
      <c r="A9" s="54" t="s">
        <v>204</v>
      </c>
      <c r="B9" s="55">
        <v>82</v>
      </c>
      <c r="C9" s="55">
        <v>93</v>
      </c>
      <c r="D9" s="55">
        <v>118</v>
      </c>
      <c r="E9" s="55">
        <v>125</v>
      </c>
      <c r="F9" s="55">
        <v>112</v>
      </c>
      <c r="G9" s="55">
        <v>95</v>
      </c>
      <c r="H9" s="55">
        <v>171</v>
      </c>
      <c r="I9" s="55">
        <v>164</v>
      </c>
      <c r="J9" s="55">
        <v>141</v>
      </c>
      <c r="K9" s="55">
        <v>181</v>
      </c>
      <c r="L9" s="55">
        <v>131</v>
      </c>
      <c r="M9" s="55">
        <v>133</v>
      </c>
      <c r="N9" s="59">
        <f>SUM(Tabela27114[[#This Row],[JAN]:[DEZ]])</f>
        <v>1546</v>
      </c>
    </row>
    <row r="10" spans="1:14" x14ac:dyDescent="0.2">
      <c r="A10" s="1" t="s">
        <v>210</v>
      </c>
      <c r="B10" s="12">
        <v>611</v>
      </c>
      <c r="C10" s="12">
        <v>483</v>
      </c>
      <c r="D10" s="12">
        <v>550</v>
      </c>
      <c r="E10" s="12">
        <v>567</v>
      </c>
      <c r="F10" s="12">
        <v>544</v>
      </c>
      <c r="G10" s="12">
        <v>467</v>
      </c>
      <c r="H10" s="12">
        <v>483</v>
      </c>
      <c r="I10" s="12">
        <v>488</v>
      </c>
      <c r="J10" s="12">
        <v>503</v>
      </c>
      <c r="K10" s="12">
        <v>515</v>
      </c>
      <c r="L10" s="12">
        <v>457</v>
      </c>
      <c r="M10" s="12">
        <v>415</v>
      </c>
      <c r="N10" s="59">
        <f>SUM(Tabela27114[[#This Row],[JAN]:[DEZ]])</f>
        <v>6083</v>
      </c>
    </row>
    <row r="11" spans="1:14" x14ac:dyDescent="0.2">
      <c r="A11" s="118" t="s">
        <v>283</v>
      </c>
      <c r="B11" s="121">
        <v>0</v>
      </c>
      <c r="C11" s="121">
        <v>25</v>
      </c>
      <c r="D11" s="121">
        <v>76</v>
      </c>
      <c r="E11" s="121">
        <v>55</v>
      </c>
      <c r="F11" s="121">
        <v>73</v>
      </c>
      <c r="G11" s="121">
        <v>55</v>
      </c>
      <c r="H11" s="121">
        <v>66</v>
      </c>
      <c r="I11" s="121">
        <v>69</v>
      </c>
      <c r="J11" s="121">
        <v>75</v>
      </c>
      <c r="K11" s="121">
        <v>51</v>
      </c>
      <c r="L11" s="121">
        <v>60</v>
      </c>
      <c r="M11" s="121">
        <v>62</v>
      </c>
      <c r="N11" s="121">
        <f>SUM(Tabela27114[[#This Row],[JAN]:[DEZ]])</f>
        <v>667</v>
      </c>
    </row>
    <row r="12" spans="1:14" x14ac:dyDescent="0.2">
      <c r="A12" s="22" t="s">
        <v>59</v>
      </c>
      <c r="B12" s="24">
        <v>92</v>
      </c>
      <c r="C12" s="24">
        <v>63</v>
      </c>
      <c r="D12" s="24">
        <v>15</v>
      </c>
      <c r="E12" s="24">
        <v>14</v>
      </c>
      <c r="F12" s="24">
        <v>14</v>
      </c>
      <c r="G12" s="24">
        <v>11</v>
      </c>
      <c r="H12" s="24">
        <v>11</v>
      </c>
      <c r="I12" s="24">
        <v>13</v>
      </c>
      <c r="J12" s="24">
        <v>9</v>
      </c>
      <c r="K12" s="24">
        <v>13</v>
      </c>
      <c r="L12" s="24">
        <v>18</v>
      </c>
      <c r="M12" s="24">
        <v>12</v>
      </c>
      <c r="N12" s="59">
        <f>SUM(Tabela27114[[#This Row],[JAN]:[DEZ]])</f>
        <v>285</v>
      </c>
    </row>
    <row r="13" spans="1:14" x14ac:dyDescent="0.2">
      <c r="A13" s="22" t="s">
        <v>60</v>
      </c>
      <c r="B13" s="24">
        <v>0</v>
      </c>
      <c r="C13" s="24">
        <v>42</v>
      </c>
      <c r="D13" s="24">
        <v>71</v>
      </c>
      <c r="E13" s="24">
        <v>88</v>
      </c>
      <c r="F13" s="24">
        <v>106</v>
      </c>
      <c r="G13" s="24">
        <v>110</v>
      </c>
      <c r="H13" s="24">
        <v>96</v>
      </c>
      <c r="I13" s="24">
        <v>107</v>
      </c>
      <c r="J13" s="24">
        <v>103</v>
      </c>
      <c r="K13" s="24">
        <v>112</v>
      </c>
      <c r="L13" s="24">
        <v>112</v>
      </c>
      <c r="M13" s="24">
        <v>121</v>
      </c>
      <c r="N13" s="59">
        <f>SUM(Tabela27114[[#This Row],[JAN]:[DEZ]])</f>
        <v>1068</v>
      </c>
    </row>
    <row r="14" spans="1:14" x14ac:dyDescent="0.2">
      <c r="A14" s="56" t="s">
        <v>43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f>SUM(Tabela27114[[#This Row],[JAN]:[DEZ]])</f>
        <v>0</v>
      </c>
    </row>
    <row r="15" spans="1:14" x14ac:dyDescent="0.2">
      <c r="A15" s="118"/>
      <c r="B15" s="121">
        <f>SUBTOTAL(109,Tabela27114[JAN])</f>
        <v>785</v>
      </c>
      <c r="C15" s="121">
        <f>SUBTOTAL(109,Tabela27114[FEV])</f>
        <v>706</v>
      </c>
      <c r="D15" s="121">
        <f>SUBTOTAL(109,Tabela27114[MAR])</f>
        <v>830</v>
      </c>
      <c r="E15" s="121">
        <f>SUBTOTAL(109,Tabela27114[ABR])</f>
        <v>849</v>
      </c>
      <c r="F15" s="121">
        <f>SUBTOTAL(109,Tabela27114[MAI])</f>
        <v>849</v>
      </c>
      <c r="G15" s="121">
        <f>SUBTOTAL(109,Tabela27114[JUN])</f>
        <v>738</v>
      </c>
      <c r="H15" s="121">
        <f>SUBTOTAL(109,Tabela27114[JUL])</f>
        <v>827</v>
      </c>
      <c r="I15" s="121">
        <f>SUBTOTAL(109,Tabela27114[AGO])</f>
        <v>841</v>
      </c>
      <c r="J15" s="121">
        <f>SUBTOTAL(109,Tabela27114[SET])</f>
        <v>831</v>
      </c>
      <c r="K15" s="121">
        <f>SUBTOTAL(109,Tabela27114[OUT])</f>
        <v>872</v>
      </c>
      <c r="L15" s="121">
        <f>SUBTOTAL(109,Tabela27114[NOV])</f>
        <v>778</v>
      </c>
      <c r="M15" s="121">
        <f>SUBTOTAL(109,Tabela27114[DEZ])</f>
        <v>743</v>
      </c>
      <c r="N15" s="121">
        <f>SUBTOTAL(109,Tabela27114[2019])</f>
        <v>9649</v>
      </c>
    </row>
  </sheetData>
  <mergeCells count="4">
    <mergeCell ref="A1:M1"/>
    <mergeCell ref="A2:M2"/>
    <mergeCell ref="A6:M6"/>
    <mergeCell ref="A7:M7"/>
  </mergeCells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9" tint="-0.249977111117893"/>
  </sheetPr>
  <dimension ref="A1:P137"/>
  <sheetViews>
    <sheetView topLeftCell="B2" zoomScale="90" zoomScaleNormal="90" workbookViewId="0">
      <selection activeCell="B2" sqref="B2:P2"/>
    </sheetView>
  </sheetViews>
  <sheetFormatPr defaultRowHeight="11.25" x14ac:dyDescent="0.2"/>
  <cols>
    <col min="1" max="1" width="9.140625" style="1" hidden="1" customWidth="1"/>
    <col min="2" max="2" width="48.42578125" style="1" bestFit="1" customWidth="1"/>
    <col min="3" max="14" width="12.85546875" style="1" customWidth="1"/>
    <col min="15" max="15" width="13.85546875" style="1" bestFit="1" customWidth="1"/>
    <col min="16" max="16384" width="9.140625" style="1"/>
  </cols>
  <sheetData>
    <row r="1" spans="2:16" hidden="1" x14ac:dyDescent="0.2">
      <c r="C1" s="1">
        <v>201901</v>
      </c>
      <c r="D1" s="1">
        <v>201902</v>
      </c>
      <c r="E1" s="1">
        <v>201903</v>
      </c>
      <c r="F1" s="1">
        <v>201904</v>
      </c>
      <c r="G1" s="1">
        <v>201905</v>
      </c>
      <c r="H1" s="1">
        <v>201906</v>
      </c>
      <c r="I1" s="1">
        <v>201907</v>
      </c>
      <c r="J1" s="1">
        <v>201908</v>
      </c>
      <c r="K1" s="1">
        <v>201909</v>
      </c>
      <c r="L1" s="1">
        <v>201910</v>
      </c>
      <c r="M1" s="1">
        <v>201911</v>
      </c>
      <c r="N1" s="1">
        <v>201912</v>
      </c>
    </row>
    <row r="2" spans="2:16" ht="19.5" thickBot="1" x14ac:dyDescent="0.35">
      <c r="B2" s="189" t="s">
        <v>329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2:16" ht="17.25" thickTop="1" thickBot="1" x14ac:dyDescent="0.3">
      <c r="B3" s="181" t="s">
        <v>285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2:16" ht="12" thickTop="1" x14ac:dyDescent="0.2">
      <c r="B4" s="1" t="s">
        <v>286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2" t="s">
        <v>241</v>
      </c>
      <c r="P4" s="1" t="s">
        <v>287</v>
      </c>
    </row>
    <row r="5" spans="2:16" x14ac:dyDescent="0.2">
      <c r="B5" s="1" t="s">
        <v>288</v>
      </c>
      <c r="C5" s="9">
        <v>765</v>
      </c>
      <c r="D5" s="9">
        <v>685</v>
      </c>
      <c r="E5" s="9">
        <v>650</v>
      </c>
      <c r="F5" s="9">
        <v>749</v>
      </c>
      <c r="G5" s="9">
        <v>769</v>
      </c>
      <c r="H5" s="9">
        <v>716</v>
      </c>
      <c r="I5" s="9">
        <v>664</v>
      </c>
      <c r="J5" s="9">
        <v>748</v>
      </c>
      <c r="K5" s="9">
        <v>627</v>
      </c>
      <c r="L5" s="9">
        <v>740</v>
      </c>
      <c r="M5" s="9">
        <v>638</v>
      </c>
      <c r="N5" s="9"/>
      <c r="O5" s="14">
        <f>SUM(Tabela270[[#This Row],[JAN]:[DEZ]])</f>
        <v>7751</v>
      </c>
      <c r="P5" s="28">
        <f>Tabela270[[#This Row],[2019]]/Tabela270[[#Totals],[2019]]</f>
        <v>0.80672356369691922</v>
      </c>
    </row>
    <row r="6" spans="2:16" x14ac:dyDescent="0.2">
      <c r="B6" s="1" t="s">
        <v>289</v>
      </c>
      <c r="C6" s="9">
        <v>85</v>
      </c>
      <c r="D6" s="9">
        <v>135</v>
      </c>
      <c r="E6" s="9">
        <v>243</v>
      </c>
      <c r="F6" s="9">
        <v>63</v>
      </c>
      <c r="G6" s="9">
        <v>203</v>
      </c>
      <c r="H6" s="9">
        <v>223</v>
      </c>
      <c r="I6" s="9">
        <v>211</v>
      </c>
      <c r="J6" s="9">
        <v>71</v>
      </c>
      <c r="K6" s="9">
        <v>283</v>
      </c>
      <c r="L6" s="9">
        <v>147</v>
      </c>
      <c r="M6" s="9">
        <v>193</v>
      </c>
      <c r="N6" s="9"/>
      <c r="O6" s="14">
        <f>SUM(Tabela270[[#This Row],[JAN]:[DEZ]])</f>
        <v>1857</v>
      </c>
      <c r="P6" s="28">
        <f>Tabela270[[#This Row],[2019]]/Tabela270[[#Totals],[2019]]</f>
        <v>0.19327643630308078</v>
      </c>
    </row>
    <row r="7" spans="2:16" ht="12" thickBot="1" x14ac:dyDescent="0.25">
      <c r="B7" s="118"/>
      <c r="C7" s="119">
        <f>SUBTOTAL(109,Tabela270[JAN])</f>
        <v>850</v>
      </c>
      <c r="D7" s="119">
        <f>SUBTOTAL(109,Tabela270[FEV])</f>
        <v>820</v>
      </c>
      <c r="E7" s="119">
        <f>SUBTOTAL(109,Tabela270[MAR])</f>
        <v>893</v>
      </c>
      <c r="F7" s="119">
        <f>SUBTOTAL(109,Tabela270[ABR])</f>
        <v>812</v>
      </c>
      <c r="G7" s="119">
        <f>SUBTOTAL(109,Tabela270[MAI])</f>
        <v>972</v>
      </c>
      <c r="H7" s="119">
        <f>SUBTOTAL(109,Tabela270[JUN])</f>
        <v>939</v>
      </c>
      <c r="I7" s="119">
        <f>SUBTOTAL(109,Tabela270[JUL])</f>
        <v>875</v>
      </c>
      <c r="J7" s="119">
        <f>SUBTOTAL(109,Tabela270[AGO])</f>
        <v>819</v>
      </c>
      <c r="K7" s="119">
        <f>SUBTOTAL(109,Tabela270[SET])</f>
        <v>910</v>
      </c>
      <c r="L7" s="119">
        <f>SUBTOTAL(109,Tabela270[OUT])</f>
        <v>887</v>
      </c>
      <c r="M7" s="119">
        <f>SUBTOTAL(109,Tabela270[NOV])</f>
        <v>831</v>
      </c>
      <c r="N7" s="119">
        <f>SUBTOTAL(109,Tabela270[DEZ])</f>
        <v>0</v>
      </c>
      <c r="O7" s="119">
        <f>SUBTOTAL(109,Tabela270[2019])</f>
        <v>9608</v>
      </c>
      <c r="P7" s="118"/>
    </row>
    <row r="8" spans="2:16" ht="17.25" thickTop="1" thickBot="1" x14ac:dyDescent="0.3">
      <c r="B8" s="181" t="s">
        <v>290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</row>
    <row r="9" spans="2:16" ht="12" thickTop="1" x14ac:dyDescent="0.2">
      <c r="B9" s="1" t="s">
        <v>286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  <c r="O9" s="2" t="s">
        <v>241</v>
      </c>
      <c r="P9" s="1" t="s">
        <v>287</v>
      </c>
    </row>
    <row r="10" spans="2:16" x14ac:dyDescent="0.2">
      <c r="B10" s="1" t="s">
        <v>288</v>
      </c>
      <c r="C10" s="9">
        <v>3583</v>
      </c>
      <c r="D10" s="9">
        <v>3594</v>
      </c>
      <c r="E10" s="9">
        <v>3079</v>
      </c>
      <c r="F10" s="9">
        <v>3482</v>
      </c>
      <c r="G10" s="9">
        <v>3366</v>
      </c>
      <c r="H10" s="9">
        <v>3273</v>
      </c>
      <c r="I10" s="9">
        <v>2997</v>
      </c>
      <c r="J10" s="9">
        <v>4453</v>
      </c>
      <c r="K10" s="9">
        <v>2598</v>
      </c>
      <c r="L10" s="9">
        <v>3720</v>
      </c>
      <c r="M10" s="9">
        <v>2722</v>
      </c>
      <c r="N10" s="9"/>
      <c r="O10" s="14">
        <f>SUM(Tabela211[[#This Row],[JAN]:[DEZ]])</f>
        <v>36867</v>
      </c>
      <c r="P10" s="28">
        <f>Tabela211[[#This Row],[2019]]/Tabela211[[#Totals],[2019]]</f>
        <v>0.58273006037998298</v>
      </c>
    </row>
    <row r="11" spans="2:16" x14ac:dyDescent="0.2">
      <c r="B11" s="1" t="s">
        <v>289</v>
      </c>
      <c r="C11" s="9">
        <v>1124</v>
      </c>
      <c r="D11" s="9">
        <v>1984</v>
      </c>
      <c r="E11" s="9">
        <v>2880</v>
      </c>
      <c r="F11" s="9">
        <v>1426</v>
      </c>
      <c r="G11" s="9">
        <v>2493</v>
      </c>
      <c r="H11" s="9">
        <v>3148</v>
      </c>
      <c r="I11" s="9">
        <v>2628</v>
      </c>
      <c r="J11" s="9">
        <v>1833</v>
      </c>
      <c r="K11" s="9">
        <v>3986</v>
      </c>
      <c r="L11" s="9">
        <v>2113</v>
      </c>
      <c r="M11" s="9">
        <v>2784</v>
      </c>
      <c r="N11" s="9"/>
      <c r="O11" s="14">
        <f>SUM(Tabela211[[#This Row],[JAN]:[DEZ]])</f>
        <v>26399</v>
      </c>
      <c r="P11" s="28">
        <f>Tabela211[[#This Row],[2019]]/Tabela211[[#Totals],[2019]]</f>
        <v>0.41726993962001707</v>
      </c>
    </row>
    <row r="12" spans="2:16" ht="12" thickBot="1" x14ac:dyDescent="0.25">
      <c r="B12" s="118"/>
      <c r="C12" s="119">
        <f>SUBTOTAL(109,Tabela211[JAN])</f>
        <v>4707</v>
      </c>
      <c r="D12" s="119">
        <f>SUBTOTAL(109,Tabela211[FEV])</f>
        <v>5578</v>
      </c>
      <c r="E12" s="119">
        <f>SUBTOTAL(109,Tabela211[MAR])</f>
        <v>5959</v>
      </c>
      <c r="F12" s="119">
        <f>SUBTOTAL(109,Tabela211[ABR])</f>
        <v>4908</v>
      </c>
      <c r="G12" s="119">
        <f>SUBTOTAL(109,Tabela211[MAI])</f>
        <v>5859</v>
      </c>
      <c r="H12" s="119">
        <f>SUBTOTAL(109,Tabela211[JUN])</f>
        <v>6421</v>
      </c>
      <c r="I12" s="119">
        <f>SUBTOTAL(109,Tabela211[JUL])</f>
        <v>5625</v>
      </c>
      <c r="J12" s="119">
        <f>SUBTOTAL(109,Tabela211[AGO])</f>
        <v>6286</v>
      </c>
      <c r="K12" s="119">
        <f>SUBTOTAL(109,Tabela211[SET])</f>
        <v>6584</v>
      </c>
      <c r="L12" s="119">
        <f>SUBTOTAL(109,Tabela211[OUT])</f>
        <v>5833</v>
      </c>
      <c r="M12" s="119">
        <f>SUBTOTAL(109,Tabela211[NOV])</f>
        <v>5506</v>
      </c>
      <c r="N12" s="119">
        <f>SUBTOTAL(109,Tabela211[DEZ])</f>
        <v>0</v>
      </c>
      <c r="O12" s="119">
        <f>SUBTOTAL(109,Tabela211[2019])</f>
        <v>63266</v>
      </c>
      <c r="P12" s="118"/>
    </row>
    <row r="13" spans="2:16" ht="17.25" thickTop="1" thickBot="1" x14ac:dyDescent="0.3">
      <c r="B13" s="190" t="s">
        <v>291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</row>
    <row r="14" spans="2:16" ht="12" thickTop="1" x14ac:dyDescent="0.2">
      <c r="B14" s="1" t="s">
        <v>286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  <c r="H14" s="1" t="s">
        <v>6</v>
      </c>
      <c r="I14" s="1" t="s">
        <v>7</v>
      </c>
      <c r="J14" s="1" t="s">
        <v>8</v>
      </c>
      <c r="K14" s="1" t="s">
        <v>9</v>
      </c>
      <c r="L14" s="1" t="s">
        <v>10</v>
      </c>
      <c r="M14" s="1" t="s">
        <v>11</v>
      </c>
      <c r="N14" s="1" t="s">
        <v>12</v>
      </c>
      <c r="O14" s="2" t="s">
        <v>241</v>
      </c>
    </row>
    <row r="15" spans="2:16" x14ac:dyDescent="0.2">
      <c r="B15" s="1" t="s">
        <v>288</v>
      </c>
      <c r="C15" s="123">
        <v>4.6836601307189545</v>
      </c>
      <c r="D15" s="123">
        <v>5.246715328467153</v>
      </c>
      <c r="E15" s="123">
        <v>4.7369230769230768</v>
      </c>
      <c r="F15" s="123">
        <v>4.6488651535380505</v>
      </c>
      <c r="G15" s="123">
        <v>4.3771131339401821</v>
      </c>
      <c r="H15" s="123">
        <v>4.5712290502793298</v>
      </c>
      <c r="I15" s="123">
        <v>4.5135542168674698</v>
      </c>
      <c r="J15" s="123">
        <v>5.9532085561497325</v>
      </c>
      <c r="K15" s="123">
        <v>4.143540669856459</v>
      </c>
      <c r="L15" s="123">
        <v>5.0270270270270272</v>
      </c>
      <c r="M15" s="123">
        <v>4.2664576802507836</v>
      </c>
      <c r="N15" s="123" t="s">
        <v>278</v>
      </c>
      <c r="O15" s="124">
        <v>4.7559969048233173</v>
      </c>
    </row>
    <row r="16" spans="2:16" x14ac:dyDescent="0.2">
      <c r="B16" s="1" t="s">
        <v>289</v>
      </c>
      <c r="C16" s="123">
        <v>13.223529411764705</v>
      </c>
      <c r="D16" s="123">
        <v>14.696296296296296</v>
      </c>
      <c r="E16" s="123">
        <v>11.851851851851851</v>
      </c>
      <c r="F16" s="123">
        <v>22.634920634920636</v>
      </c>
      <c r="G16" s="123">
        <v>12.280788177339902</v>
      </c>
      <c r="H16" s="123">
        <v>14.116591928251122</v>
      </c>
      <c r="I16" s="123">
        <v>12.454976303317535</v>
      </c>
      <c r="J16" s="123">
        <v>25.816901408450704</v>
      </c>
      <c r="K16" s="123">
        <v>14.084805653710248</v>
      </c>
      <c r="L16" s="123">
        <v>14.374149659863946</v>
      </c>
      <c r="M16" s="123">
        <v>14.424870466321243</v>
      </c>
      <c r="N16" s="123" t="s">
        <v>278</v>
      </c>
      <c r="O16" s="124">
        <v>14.215939687668282</v>
      </c>
    </row>
    <row r="17" spans="2:16" ht="12" thickBot="1" x14ac:dyDescent="0.25">
      <c r="B17" s="118"/>
      <c r="C17" s="136" t="s">
        <v>312</v>
      </c>
      <c r="D17" s="136" t="s">
        <v>313</v>
      </c>
      <c r="E17" s="136" t="s">
        <v>314</v>
      </c>
      <c r="F17" s="136" t="s">
        <v>315</v>
      </c>
      <c r="G17" s="136" t="s">
        <v>337</v>
      </c>
      <c r="H17" s="136" t="s">
        <v>365</v>
      </c>
      <c r="I17" s="136" t="s">
        <v>371</v>
      </c>
      <c r="J17" s="136" t="s">
        <v>377</v>
      </c>
      <c r="K17" s="136" t="s">
        <v>390</v>
      </c>
      <c r="L17" s="136" t="s">
        <v>391</v>
      </c>
      <c r="M17" s="136" t="s">
        <v>403</v>
      </c>
      <c r="N17" s="136" t="s">
        <v>316</v>
      </c>
      <c r="O17" s="136" t="s">
        <v>391</v>
      </c>
    </row>
    <row r="18" spans="2:16" ht="17.25" thickTop="1" thickBot="1" x14ac:dyDescent="0.3">
      <c r="B18" s="181" t="s">
        <v>292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</row>
    <row r="19" spans="2:16" ht="12" thickTop="1" x14ac:dyDescent="0.2">
      <c r="B19" s="1" t="s">
        <v>286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2" t="s">
        <v>241</v>
      </c>
      <c r="P19" s="1" t="s">
        <v>287</v>
      </c>
    </row>
    <row r="20" spans="2:16" x14ac:dyDescent="0.2">
      <c r="B20" s="1" t="s">
        <v>288</v>
      </c>
      <c r="C20" s="9">
        <v>30</v>
      </c>
      <c r="D20" s="9">
        <v>31</v>
      </c>
      <c r="E20" s="9">
        <v>20</v>
      </c>
      <c r="F20" s="9">
        <v>30</v>
      </c>
      <c r="G20" s="9">
        <v>33</v>
      </c>
      <c r="H20" s="9">
        <v>37</v>
      </c>
      <c r="I20" s="9">
        <v>31</v>
      </c>
      <c r="J20" s="9">
        <v>35</v>
      </c>
      <c r="K20" s="9">
        <v>24</v>
      </c>
      <c r="L20" s="9">
        <v>28</v>
      </c>
      <c r="M20" s="9">
        <v>18</v>
      </c>
      <c r="N20" s="9"/>
      <c r="O20" s="14">
        <f>SUM(Tabela21112[[#This Row],[JAN]:[DEZ]])</f>
        <v>317</v>
      </c>
      <c r="P20" s="28">
        <f>Tabela21112[[#This Row],[2019]]/Tabela21112[[#Totals],[2019]]</f>
        <v>0.66179540709812112</v>
      </c>
    </row>
    <row r="21" spans="2:16" x14ac:dyDescent="0.2">
      <c r="B21" s="1" t="s">
        <v>289</v>
      </c>
      <c r="C21" s="9">
        <v>5</v>
      </c>
      <c r="D21" s="9">
        <v>21</v>
      </c>
      <c r="E21" s="9">
        <v>21</v>
      </c>
      <c r="F21" s="9">
        <v>5</v>
      </c>
      <c r="G21" s="9">
        <v>24</v>
      </c>
      <c r="H21" s="9">
        <v>9</v>
      </c>
      <c r="I21" s="9">
        <v>27</v>
      </c>
      <c r="J21" s="9">
        <v>2</v>
      </c>
      <c r="K21" s="9">
        <v>17</v>
      </c>
      <c r="L21" s="9">
        <v>16</v>
      </c>
      <c r="M21" s="9">
        <v>15</v>
      </c>
      <c r="N21" s="9"/>
      <c r="O21" s="14">
        <f>SUM(Tabela21112[[#This Row],[JAN]:[DEZ]])</f>
        <v>162</v>
      </c>
      <c r="P21" s="28">
        <f>Tabela21112[[#This Row],[2019]]/Tabela21112[[#Totals],[2019]]</f>
        <v>0.33820459290187893</v>
      </c>
    </row>
    <row r="22" spans="2:16" ht="12" thickBot="1" x14ac:dyDescent="0.25">
      <c r="B22" s="118"/>
      <c r="C22" s="119">
        <f>SUBTOTAL(109,Tabela21112[JAN])</f>
        <v>35</v>
      </c>
      <c r="D22" s="119">
        <f>SUBTOTAL(109,Tabela21112[FEV])</f>
        <v>52</v>
      </c>
      <c r="E22" s="119">
        <f>SUBTOTAL(109,Tabela21112[MAR])</f>
        <v>41</v>
      </c>
      <c r="F22" s="119">
        <f>SUBTOTAL(109,Tabela21112[ABR])</f>
        <v>35</v>
      </c>
      <c r="G22" s="119">
        <f>SUBTOTAL(109,Tabela21112[MAI])</f>
        <v>57</v>
      </c>
      <c r="H22" s="119">
        <f>SUBTOTAL(109,Tabela21112[JUN])</f>
        <v>46</v>
      </c>
      <c r="I22" s="119">
        <f>SUBTOTAL(109,Tabela21112[JUL])</f>
        <v>58</v>
      </c>
      <c r="J22" s="119">
        <f>SUBTOTAL(109,Tabela21112[AGO])</f>
        <v>37</v>
      </c>
      <c r="K22" s="119">
        <f>SUBTOTAL(109,Tabela21112[SET])</f>
        <v>41</v>
      </c>
      <c r="L22" s="119">
        <f>SUBTOTAL(109,Tabela21112[OUT])</f>
        <v>44</v>
      </c>
      <c r="M22" s="119">
        <f>SUBTOTAL(109,Tabela21112[NOV])</f>
        <v>33</v>
      </c>
      <c r="N22" s="119">
        <f>SUBTOTAL(109,Tabela21112[DEZ])</f>
        <v>0</v>
      </c>
      <c r="O22" s="119">
        <f>SUBTOTAL(109,Tabela21112[2019])</f>
        <v>479</v>
      </c>
      <c r="P22" s="118"/>
    </row>
    <row r="23" spans="2:16" ht="17.25" thickTop="1" thickBot="1" x14ac:dyDescent="0.3">
      <c r="B23" s="181" t="s">
        <v>293</v>
      </c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</row>
    <row r="24" spans="2:16" ht="12" thickTop="1" x14ac:dyDescent="0.2">
      <c r="B24" s="1" t="s">
        <v>286</v>
      </c>
      <c r="C24" s="1" t="s">
        <v>1</v>
      </c>
      <c r="D24" s="1" t="s">
        <v>2</v>
      </c>
      <c r="E24" s="1" t="s">
        <v>3</v>
      </c>
      <c r="F24" s="1" t="s">
        <v>4</v>
      </c>
      <c r="G24" s="1" t="s">
        <v>5</v>
      </c>
      <c r="H24" s="1" t="s">
        <v>6</v>
      </c>
      <c r="I24" s="1" t="s">
        <v>7</v>
      </c>
      <c r="J24" s="1" t="s">
        <v>8</v>
      </c>
      <c r="K24" s="1" t="s">
        <v>9</v>
      </c>
      <c r="L24" s="1" t="s">
        <v>10</v>
      </c>
      <c r="M24" s="1" t="s">
        <v>11</v>
      </c>
      <c r="N24" s="1" t="s">
        <v>12</v>
      </c>
      <c r="O24" s="2" t="s">
        <v>241</v>
      </c>
      <c r="P24" s="1" t="s">
        <v>287</v>
      </c>
    </row>
    <row r="25" spans="2:16" x14ac:dyDescent="0.2">
      <c r="B25" s="1" t="s">
        <v>288</v>
      </c>
      <c r="C25" s="16">
        <v>499709.06999999809</v>
      </c>
      <c r="D25" s="16">
        <v>493927.79999999952</v>
      </c>
      <c r="E25" s="16">
        <v>471863.05999999784</v>
      </c>
      <c r="F25" s="16">
        <v>490394.75999999861</v>
      </c>
      <c r="G25" s="16">
        <v>511691.25999999908</v>
      </c>
      <c r="H25" s="16">
        <v>521021.30999999872</v>
      </c>
      <c r="I25" s="16">
        <v>488332.47999999876</v>
      </c>
      <c r="J25" s="16">
        <v>622966.97999999905</v>
      </c>
      <c r="K25" s="16">
        <v>360597.39999999956</v>
      </c>
      <c r="L25" s="16">
        <v>547911.37999999907</v>
      </c>
      <c r="M25" s="16">
        <v>410886.96999999951</v>
      </c>
      <c r="N25" s="16"/>
      <c r="O25" s="17">
        <f>SUM(Tabela2475[[#This Row],[JAN]:[DEZ]])</f>
        <v>5419302.4699999876</v>
      </c>
      <c r="P25" s="28">
        <f>Tabela2475[[#This Row],[2019]]/Tabela2475[[#Totals],[2019]]</f>
        <v>0.62039023224993117</v>
      </c>
    </row>
    <row r="26" spans="2:16" x14ac:dyDescent="0.2">
      <c r="B26" s="1" t="s">
        <v>289</v>
      </c>
      <c r="C26" s="16">
        <v>154271.62999999992</v>
      </c>
      <c r="D26" s="16">
        <v>258612.03999999992</v>
      </c>
      <c r="E26" s="16">
        <v>387543.20999999915</v>
      </c>
      <c r="F26" s="16">
        <v>213738.86</v>
      </c>
      <c r="G26" s="16">
        <v>311543.96000000014</v>
      </c>
      <c r="H26" s="16">
        <v>443354.55999999988</v>
      </c>
      <c r="I26" s="16">
        <v>418868.77999999974</v>
      </c>
      <c r="J26" s="16">
        <v>142135.07999999996</v>
      </c>
      <c r="K26" s="16">
        <v>454456.3699999993</v>
      </c>
      <c r="L26" s="16">
        <v>221917.2699999999</v>
      </c>
      <c r="M26" s="16">
        <v>309568.13999999996</v>
      </c>
      <c r="N26" s="16"/>
      <c r="O26" s="17">
        <f>SUM(Tabela2475[[#This Row],[JAN]:[DEZ]])</f>
        <v>3316009.899999998</v>
      </c>
      <c r="P26" s="28">
        <f>Tabela2475[[#This Row],[2019]]/Tabela2475[[#Totals],[2019]]</f>
        <v>0.37960976775006883</v>
      </c>
    </row>
    <row r="27" spans="2:16" ht="12" thickBot="1" x14ac:dyDescent="0.25">
      <c r="B27" s="118"/>
      <c r="C27" s="130">
        <f>SUBTOTAL(109,Tabela2475[JAN])</f>
        <v>653980.69999999797</v>
      </c>
      <c r="D27" s="130">
        <f>SUBTOTAL(109,Tabela2475[FEV])</f>
        <v>752539.83999999939</v>
      </c>
      <c r="E27" s="130">
        <f>SUBTOTAL(109,Tabela2475[MAR])</f>
        <v>859406.26999999699</v>
      </c>
      <c r="F27" s="130">
        <f>SUBTOTAL(109,Tabela2475[ABR])</f>
        <v>704133.6199999986</v>
      </c>
      <c r="G27" s="130">
        <f>SUBTOTAL(109,Tabela2475[MAI])</f>
        <v>823235.21999999927</v>
      </c>
      <c r="H27" s="130">
        <f>SUBTOTAL(109,Tabela2475[JUN])</f>
        <v>964375.8699999986</v>
      </c>
      <c r="I27" s="130">
        <f>SUBTOTAL(109,Tabela2475[JUL])</f>
        <v>907201.2599999985</v>
      </c>
      <c r="J27" s="130">
        <f>SUBTOTAL(109,Tabela2475[AGO])</f>
        <v>765102.05999999901</v>
      </c>
      <c r="K27" s="130">
        <f>SUBTOTAL(109,Tabela2475[SET])</f>
        <v>815053.76999999885</v>
      </c>
      <c r="L27" s="130">
        <f>SUBTOTAL(109,Tabela2475[OUT])</f>
        <v>769828.64999999898</v>
      </c>
      <c r="M27" s="130">
        <f>SUBTOTAL(109,Tabela2475[NOV])</f>
        <v>720455.1099999994</v>
      </c>
      <c r="N27" s="130">
        <f>SUBTOTAL(109,Tabela2475[DEZ])</f>
        <v>0</v>
      </c>
      <c r="O27" s="130">
        <f>SUBTOTAL(109,Tabela2475[2019])</f>
        <v>8735312.3699999861</v>
      </c>
      <c r="P27" s="118"/>
    </row>
    <row r="28" spans="2:16" ht="17.25" thickTop="1" thickBot="1" x14ac:dyDescent="0.3">
      <c r="B28" s="181" t="s">
        <v>294</v>
      </c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</row>
    <row r="29" spans="2:16" ht="12" thickTop="1" x14ac:dyDescent="0.2">
      <c r="B29" s="1" t="s">
        <v>286</v>
      </c>
      <c r="C29" s="1" t="s">
        <v>1</v>
      </c>
      <c r="D29" s="1" t="s">
        <v>2</v>
      </c>
      <c r="E29" s="1" t="s">
        <v>3</v>
      </c>
      <c r="F29" s="1" t="s">
        <v>4</v>
      </c>
      <c r="G29" s="1" t="s">
        <v>5</v>
      </c>
      <c r="H29" s="1" t="s">
        <v>6</v>
      </c>
      <c r="I29" s="1" t="s">
        <v>7</v>
      </c>
      <c r="J29" s="1" t="s">
        <v>8</v>
      </c>
      <c r="K29" s="1" t="s">
        <v>9</v>
      </c>
      <c r="L29" s="1" t="s">
        <v>10</v>
      </c>
      <c r="M29" s="1" t="s">
        <v>11</v>
      </c>
      <c r="N29" s="1" t="s">
        <v>12</v>
      </c>
      <c r="O29" s="2" t="s">
        <v>241</v>
      </c>
      <c r="P29" s="1" t="s">
        <v>287</v>
      </c>
    </row>
    <row r="30" spans="2:16" x14ac:dyDescent="0.2">
      <c r="B30" s="1" t="s">
        <v>288</v>
      </c>
      <c r="C30" s="16">
        <v>119287.12000000113</v>
      </c>
      <c r="D30" s="16">
        <v>113809.75000000114</v>
      </c>
      <c r="E30" s="16">
        <v>118284.23000000093</v>
      </c>
      <c r="F30" s="16">
        <v>115838.39000000131</v>
      </c>
      <c r="G30" s="16">
        <v>123356.18000000116</v>
      </c>
      <c r="H30" s="16">
        <v>123831.19000000134</v>
      </c>
      <c r="I30" s="16">
        <v>115677.4800000009</v>
      </c>
      <c r="J30" s="16">
        <v>129513.70000000109</v>
      </c>
      <c r="K30" s="16">
        <v>84866.230000001131</v>
      </c>
      <c r="L30" s="16">
        <v>133370.65000000095</v>
      </c>
      <c r="M30" s="16">
        <v>106809.54000000072</v>
      </c>
      <c r="N30" s="16"/>
      <c r="O30" s="17">
        <f>SUM(Tabela24589[[#This Row],[JAN]:[DEZ]])</f>
        <v>1284644.4600000118</v>
      </c>
      <c r="P30" s="28">
        <f>Tabela24589[[#This Row],[2019]]/Tabela24589[[#Totals],[2019]]</f>
        <v>0.6881675237696725</v>
      </c>
    </row>
    <row r="31" spans="2:16" x14ac:dyDescent="0.2">
      <c r="B31" s="1" t="s">
        <v>289</v>
      </c>
      <c r="C31" s="16">
        <v>29203.450000000012</v>
      </c>
      <c r="D31" s="16">
        <v>37420.249999999993</v>
      </c>
      <c r="E31" s="16">
        <v>62241.110000000081</v>
      </c>
      <c r="F31" s="16">
        <v>33177.880000000012</v>
      </c>
      <c r="G31" s="16">
        <v>54692.21</v>
      </c>
      <c r="H31" s="16">
        <v>83941.790000000154</v>
      </c>
      <c r="I31" s="16">
        <v>74570.530000000101</v>
      </c>
      <c r="J31" s="16">
        <v>29321.199999999997</v>
      </c>
      <c r="K31" s="16">
        <v>82736.300000000221</v>
      </c>
      <c r="L31" s="16">
        <v>36865.039999999979</v>
      </c>
      <c r="M31" s="16">
        <v>57947.019999999982</v>
      </c>
      <c r="N31" s="16"/>
      <c r="O31" s="17">
        <f>SUM(Tabela24589[[#This Row],[JAN]:[DEZ]])</f>
        <v>582116.78000000049</v>
      </c>
      <c r="P31" s="28">
        <f>Tabela24589[[#This Row],[2019]]/Tabela24589[[#Totals],[2019]]</f>
        <v>0.3118324762303275</v>
      </c>
    </row>
    <row r="32" spans="2:16" ht="12" thickBot="1" x14ac:dyDescent="0.25">
      <c r="B32" s="118"/>
      <c r="C32" s="130">
        <f>SUBTOTAL(109,Tabela24589[JAN])</f>
        <v>148490.57000000114</v>
      </c>
      <c r="D32" s="130">
        <f>SUBTOTAL(109,Tabela24589[FEV])</f>
        <v>151230.00000000114</v>
      </c>
      <c r="E32" s="130">
        <f>SUBTOTAL(109,Tabela24589[MAR])</f>
        <v>180525.34000000102</v>
      </c>
      <c r="F32" s="130">
        <f>SUBTOTAL(109,Tabela24589[ABR])</f>
        <v>149016.27000000133</v>
      </c>
      <c r="G32" s="130">
        <f>SUBTOTAL(109,Tabela24589[MAI])</f>
        <v>178048.39000000115</v>
      </c>
      <c r="H32" s="130">
        <f>SUBTOTAL(109,Tabela24589[JUN])</f>
        <v>207772.98000000149</v>
      </c>
      <c r="I32" s="130">
        <f>SUBTOTAL(109,Tabela24589[JUL])</f>
        <v>190248.010000001</v>
      </c>
      <c r="J32" s="130">
        <f>SUBTOTAL(109,Tabela24589[AGO])</f>
        <v>158834.90000000107</v>
      </c>
      <c r="K32" s="130">
        <f>SUBTOTAL(109,Tabela24589[SET])</f>
        <v>167602.53000000137</v>
      </c>
      <c r="L32" s="130">
        <f>SUBTOTAL(109,Tabela24589[OUT])</f>
        <v>170235.69000000093</v>
      </c>
      <c r="M32" s="130">
        <f>SUBTOTAL(109,Tabela24589[NOV])</f>
        <v>164756.5600000007</v>
      </c>
      <c r="N32" s="130">
        <f>SUBTOTAL(109,Tabela24589[DEZ])</f>
        <v>0</v>
      </c>
      <c r="O32" s="130">
        <f>SUBTOTAL(109,Tabela24589[2019])</f>
        <v>1866761.2400000123</v>
      </c>
      <c r="P32" s="118"/>
    </row>
    <row r="33" spans="2:16" ht="17.25" thickTop="1" thickBot="1" x14ac:dyDescent="0.3">
      <c r="B33" s="190" t="s">
        <v>295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</row>
    <row r="34" spans="2:16" ht="12" thickTop="1" x14ac:dyDescent="0.2">
      <c r="B34" s="1" t="s">
        <v>286</v>
      </c>
      <c r="C34" s="1" t="s">
        <v>1</v>
      </c>
      <c r="D34" s="1" t="s">
        <v>2</v>
      </c>
      <c r="E34" s="1" t="s">
        <v>3</v>
      </c>
      <c r="F34" s="1" t="s">
        <v>4</v>
      </c>
      <c r="G34" s="1" t="s">
        <v>5</v>
      </c>
      <c r="H34" s="1" t="s">
        <v>6</v>
      </c>
      <c r="I34" s="1" t="s">
        <v>7</v>
      </c>
      <c r="J34" s="1" t="s">
        <v>8</v>
      </c>
      <c r="K34" s="1" t="s">
        <v>9</v>
      </c>
      <c r="L34" s="1" t="s">
        <v>10</v>
      </c>
      <c r="M34" s="1" t="s">
        <v>11</v>
      </c>
      <c r="N34" s="1" t="s">
        <v>12</v>
      </c>
      <c r="O34" s="2" t="s">
        <v>241</v>
      </c>
      <c r="P34" s="1" t="s">
        <v>287</v>
      </c>
    </row>
    <row r="35" spans="2:16" x14ac:dyDescent="0.2">
      <c r="B35" s="1" t="s">
        <v>288</v>
      </c>
      <c r="C35" s="16">
        <f>IF(SUM(C25,C30)&gt;0,SUM(C25,C30),"")</f>
        <v>618996.18999999925</v>
      </c>
      <c r="D35" s="16">
        <f t="shared" ref="D35:N35" si="0">IF(SUM(D25,D30)&gt;0,SUM(D25,D30),"")</f>
        <v>607737.55000000063</v>
      </c>
      <c r="E35" s="16">
        <f t="shared" si="0"/>
        <v>590147.28999999876</v>
      </c>
      <c r="F35" s="16">
        <f t="shared" si="0"/>
        <v>606233.14999999991</v>
      </c>
      <c r="G35" s="16">
        <f t="shared" si="0"/>
        <v>635047.44000000018</v>
      </c>
      <c r="H35" s="16">
        <f t="shared" si="0"/>
        <v>644852.5</v>
      </c>
      <c r="I35" s="16">
        <f t="shared" si="0"/>
        <v>604009.95999999961</v>
      </c>
      <c r="J35" s="16">
        <f t="shared" si="0"/>
        <v>752480.68000000017</v>
      </c>
      <c r="K35" s="16">
        <f t="shared" si="0"/>
        <v>445463.6300000007</v>
      </c>
      <c r="L35" s="16">
        <f t="shared" si="0"/>
        <v>681282.03</v>
      </c>
      <c r="M35" s="16">
        <f t="shared" si="0"/>
        <v>517696.51000000024</v>
      </c>
      <c r="N35" s="16" t="str">
        <f t="shared" si="0"/>
        <v/>
      </c>
      <c r="O35" s="17">
        <f>SUM(Tabela2457[[#This Row],[JAN]:[DEZ]])</f>
        <v>6703946.9299999997</v>
      </c>
      <c r="P35" s="28">
        <f>Tabela2457[[#This Row],[2019]]/Tabela2457[[#Totals],[2019]]</f>
        <v>0.63232412607254107</v>
      </c>
    </row>
    <row r="36" spans="2:16" x14ac:dyDescent="0.2">
      <c r="B36" s="1" t="s">
        <v>289</v>
      </c>
      <c r="C36" s="16">
        <f>IF(SUM(C26,C31)&gt;0,SUM(C26,C31),"")</f>
        <v>183475.07999999993</v>
      </c>
      <c r="D36" s="16">
        <f t="shared" ref="D36:N36" si="1">IF(SUM(D26,D31)&gt;0,SUM(D26,D31),"")</f>
        <v>296032.28999999992</v>
      </c>
      <c r="E36" s="16">
        <f t="shared" si="1"/>
        <v>449784.31999999925</v>
      </c>
      <c r="F36" s="16">
        <f t="shared" si="1"/>
        <v>246916.74</v>
      </c>
      <c r="G36" s="16">
        <f t="shared" si="1"/>
        <v>366236.17000000016</v>
      </c>
      <c r="H36" s="16">
        <f t="shared" si="1"/>
        <v>527296.35000000009</v>
      </c>
      <c r="I36" s="16">
        <f t="shared" si="1"/>
        <v>493439.30999999982</v>
      </c>
      <c r="J36" s="16">
        <f t="shared" si="1"/>
        <v>171456.27999999997</v>
      </c>
      <c r="K36" s="16">
        <f t="shared" si="1"/>
        <v>537192.66999999946</v>
      </c>
      <c r="L36" s="16">
        <f t="shared" si="1"/>
        <v>258782.30999999988</v>
      </c>
      <c r="M36" s="16">
        <f t="shared" si="1"/>
        <v>367515.15999999992</v>
      </c>
      <c r="N36" s="16" t="str">
        <f t="shared" si="1"/>
        <v/>
      </c>
      <c r="O36" s="17">
        <f>SUM(Tabela2457[[#This Row],[JAN]:[DEZ]])</f>
        <v>3898126.6799999988</v>
      </c>
      <c r="P36" s="28">
        <f>Tabela2457[[#This Row],[2019]]/Tabela2457[[#Totals],[2019]]</f>
        <v>0.36767587392745887</v>
      </c>
    </row>
    <row r="37" spans="2:16" ht="12" thickBot="1" x14ac:dyDescent="0.25">
      <c r="B37" s="118"/>
      <c r="C37" s="130">
        <f>SUBTOTAL(109,Tabela2457[JAN])</f>
        <v>802471.2699999992</v>
      </c>
      <c r="D37" s="130">
        <f>SUBTOTAL(109,Tabela2457[FEV])</f>
        <v>903769.84000000055</v>
      </c>
      <c r="E37" s="130">
        <f>SUBTOTAL(109,Tabela2457[MAR])</f>
        <v>1039931.609999998</v>
      </c>
      <c r="F37" s="130">
        <f>SUBTOTAL(109,Tabela2457[ABR])</f>
        <v>853149.8899999999</v>
      </c>
      <c r="G37" s="130">
        <f>SUBTOTAL(109,Tabela2457[MAI])</f>
        <v>1001283.6100000003</v>
      </c>
      <c r="H37" s="130">
        <f>SUBTOTAL(109,Tabela2457[JUN])</f>
        <v>1172148.8500000001</v>
      </c>
      <c r="I37" s="130">
        <f>SUBTOTAL(109,Tabela2457[JUL])</f>
        <v>1097449.2699999996</v>
      </c>
      <c r="J37" s="130">
        <f>SUBTOTAL(109,Tabela2457[AGO])</f>
        <v>923936.9600000002</v>
      </c>
      <c r="K37" s="130">
        <f>SUBTOTAL(109,Tabela2457[SET])</f>
        <v>982656.30000000016</v>
      </c>
      <c r="L37" s="130">
        <f>SUBTOTAL(109,Tabela2457[OUT])</f>
        <v>940064.33999999985</v>
      </c>
      <c r="M37" s="130">
        <f>SUBTOTAL(109,Tabela2457[NOV])</f>
        <v>885211.67000000016</v>
      </c>
      <c r="N37" s="130">
        <f>SUBTOTAL(109,Tabela2457[DEZ])</f>
        <v>0</v>
      </c>
      <c r="O37" s="130">
        <f>SUBTOTAL(109,Tabela2457[2019])</f>
        <v>10602073.609999999</v>
      </c>
      <c r="P37" s="118"/>
    </row>
    <row r="38" spans="2:16" ht="17.25" thickTop="1" thickBot="1" x14ac:dyDescent="0.3">
      <c r="B38" s="190" t="s">
        <v>296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</row>
    <row r="39" spans="2:16" ht="12" thickTop="1" x14ac:dyDescent="0.2">
      <c r="B39" s="1" t="s">
        <v>286</v>
      </c>
      <c r="C39" s="1" t="s">
        <v>1</v>
      </c>
      <c r="D39" s="1" t="s">
        <v>2</v>
      </c>
      <c r="E39" s="1" t="s">
        <v>3</v>
      </c>
      <c r="F39" s="1" t="s">
        <v>4</v>
      </c>
      <c r="G39" s="1" t="s">
        <v>5</v>
      </c>
      <c r="H39" s="1" t="s">
        <v>6</v>
      </c>
      <c r="I39" s="1" t="s">
        <v>7</v>
      </c>
      <c r="J39" s="1" t="s">
        <v>8</v>
      </c>
      <c r="K39" s="1" t="s">
        <v>9</v>
      </c>
      <c r="L39" s="1" t="s">
        <v>10</v>
      </c>
      <c r="M39" s="1" t="s">
        <v>11</v>
      </c>
      <c r="N39" s="1" t="s">
        <v>12</v>
      </c>
      <c r="O39" s="2" t="s">
        <v>241</v>
      </c>
    </row>
    <row r="40" spans="2:16" x14ac:dyDescent="0.2">
      <c r="B40" s="1" t="s">
        <v>288</v>
      </c>
      <c r="C40" s="16">
        <v>809.14534640522766</v>
      </c>
      <c r="D40" s="16">
        <v>887.20810218977806</v>
      </c>
      <c r="E40" s="16">
        <v>907.9189076923044</v>
      </c>
      <c r="F40" s="16">
        <v>809.39005340453673</v>
      </c>
      <c r="G40" s="16">
        <v>825.80941482444337</v>
      </c>
      <c r="H40" s="16">
        <v>900.63198324021891</v>
      </c>
      <c r="I40" s="16">
        <v>909.65355421686513</v>
      </c>
      <c r="J40" s="16">
        <v>1005.9902139037399</v>
      </c>
      <c r="K40" s="16">
        <v>710.46830940988934</v>
      </c>
      <c r="L40" s="16">
        <v>920.65139189188812</v>
      </c>
      <c r="M40" s="16">
        <v>811.436536050158</v>
      </c>
      <c r="N40" s="16" t="s">
        <v>278</v>
      </c>
      <c r="O40" s="17">
        <v>864.82713309258565</v>
      </c>
    </row>
    <row r="41" spans="2:16" x14ac:dyDescent="0.2">
      <c r="B41" s="1" t="s">
        <v>289</v>
      </c>
      <c r="C41" s="16">
        <v>2158.5303529411772</v>
      </c>
      <c r="D41" s="16">
        <v>2192.8317777777775</v>
      </c>
      <c r="E41" s="16">
        <v>1850.9642798353918</v>
      </c>
      <c r="F41" s="16">
        <v>3919.313333333334</v>
      </c>
      <c r="G41" s="16">
        <v>1804.1190640394091</v>
      </c>
      <c r="H41" s="16">
        <v>2364.557623318386</v>
      </c>
      <c r="I41" s="16">
        <v>2338.5749289099535</v>
      </c>
      <c r="J41" s="16">
        <v>2414.8771830985911</v>
      </c>
      <c r="K41" s="16">
        <v>1898.2073144876342</v>
      </c>
      <c r="L41" s="16">
        <v>1760.4238775510189</v>
      </c>
      <c r="M41" s="16">
        <v>1904.2236269430048</v>
      </c>
      <c r="N41" s="16" t="s">
        <v>278</v>
      </c>
      <c r="O41" s="17">
        <v>2099.1527625201916</v>
      </c>
    </row>
    <row r="42" spans="2:16" ht="12" thickBot="1" x14ac:dyDescent="0.25">
      <c r="B42" s="118"/>
      <c r="C42" s="137" t="s">
        <v>317</v>
      </c>
      <c r="D42" s="137" t="s">
        <v>318</v>
      </c>
      <c r="E42" s="137" t="s">
        <v>319</v>
      </c>
      <c r="F42" s="137" t="s">
        <v>320</v>
      </c>
      <c r="G42" s="137" t="s">
        <v>335</v>
      </c>
      <c r="H42" s="137" t="s">
        <v>373</v>
      </c>
      <c r="I42" s="137" t="s">
        <v>372</v>
      </c>
      <c r="J42" s="137" t="s">
        <v>378</v>
      </c>
      <c r="K42" s="137" t="s">
        <v>392</v>
      </c>
      <c r="L42" s="137" t="s">
        <v>397</v>
      </c>
      <c r="M42" s="137" t="s">
        <v>404</v>
      </c>
      <c r="N42" s="137" t="s">
        <v>316</v>
      </c>
      <c r="O42" s="137" t="s">
        <v>405</v>
      </c>
    </row>
    <row r="43" spans="2:16" ht="17.25" thickTop="1" thickBot="1" x14ac:dyDescent="0.3">
      <c r="B43" s="181" t="s">
        <v>297</v>
      </c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</row>
    <row r="44" spans="2:16" ht="12" thickTop="1" x14ac:dyDescent="0.2">
      <c r="B44" s="1" t="s">
        <v>286</v>
      </c>
      <c r="C44" s="1" t="s">
        <v>1</v>
      </c>
      <c r="D44" s="1" t="s">
        <v>2</v>
      </c>
      <c r="E44" s="1" t="s">
        <v>3</v>
      </c>
      <c r="F44" s="1" t="s">
        <v>4</v>
      </c>
      <c r="G44" s="1" t="s">
        <v>5</v>
      </c>
      <c r="H44" s="1" t="s">
        <v>6</v>
      </c>
      <c r="I44" s="1" t="s">
        <v>7</v>
      </c>
      <c r="J44" s="1" t="s">
        <v>8</v>
      </c>
      <c r="K44" s="1" t="s">
        <v>9</v>
      </c>
      <c r="L44" s="1" t="s">
        <v>10</v>
      </c>
      <c r="M44" s="1" t="s">
        <v>11</v>
      </c>
      <c r="N44" s="1" t="s">
        <v>12</v>
      </c>
      <c r="O44" s="2" t="s">
        <v>241</v>
      </c>
      <c r="P44" s="1" t="s">
        <v>287</v>
      </c>
    </row>
    <row r="45" spans="2:16" x14ac:dyDescent="0.2">
      <c r="B45" s="1" t="s">
        <v>288</v>
      </c>
      <c r="C45" s="16">
        <v>37812.399999999972</v>
      </c>
      <c r="D45" s="16">
        <v>34885.070000000043</v>
      </c>
      <c r="E45" s="16">
        <v>29359.560000000009</v>
      </c>
      <c r="F45" s="16">
        <v>44154.729999999901</v>
      </c>
      <c r="G45" s="16">
        <v>39798.649999999987</v>
      </c>
      <c r="H45" s="16">
        <v>44927.169999999867</v>
      </c>
      <c r="I45" s="16">
        <v>36403.580000000024</v>
      </c>
      <c r="J45" s="16">
        <v>59157.799999999894</v>
      </c>
      <c r="K45" s="16">
        <v>26718.170000000006</v>
      </c>
      <c r="L45" s="16">
        <v>45028.649999999951</v>
      </c>
      <c r="M45" s="16">
        <v>29944.330000000016</v>
      </c>
      <c r="N45" s="16"/>
      <c r="O45" s="17">
        <f>SUM(Tabela2456[[#This Row],[JAN]:[DEZ]])</f>
        <v>428190.10999999964</v>
      </c>
      <c r="P45" s="28">
        <f>Tabela2456[[#This Row],[2019]]/Tabela2456[[#Totals],[2019]]</f>
        <v>0.53349767484581578</v>
      </c>
    </row>
    <row r="46" spans="2:16" x14ac:dyDescent="0.2">
      <c r="B46" s="1" t="s">
        <v>289</v>
      </c>
      <c r="C46" s="16">
        <v>13620.160000000002</v>
      </c>
      <c r="D46" s="16">
        <v>27790.820000000018</v>
      </c>
      <c r="E46" s="16">
        <v>39959.010000000009</v>
      </c>
      <c r="F46" s="16">
        <v>22703.559999999994</v>
      </c>
      <c r="G46" s="16">
        <v>34619.30999999999</v>
      </c>
      <c r="H46" s="16">
        <v>51469.379999999946</v>
      </c>
      <c r="I46" s="16">
        <v>41999.349999999991</v>
      </c>
      <c r="J46" s="16">
        <v>16146.940000000004</v>
      </c>
      <c r="K46" s="16">
        <v>54783.599999999948</v>
      </c>
      <c r="L46" s="16">
        <v>31026.76</v>
      </c>
      <c r="M46" s="16">
        <v>40300.140000000021</v>
      </c>
      <c r="N46" s="16"/>
      <c r="O46" s="17">
        <f>SUM(Tabela2456[[#This Row],[JAN]:[DEZ]])</f>
        <v>374419.02999999991</v>
      </c>
      <c r="P46" s="28">
        <f>Tabela2456[[#This Row],[2019]]/Tabela2456[[#Totals],[2019]]</f>
        <v>0.46650232515418416</v>
      </c>
    </row>
    <row r="47" spans="2:16" ht="12" thickBot="1" x14ac:dyDescent="0.25">
      <c r="B47" s="118"/>
      <c r="C47" s="130">
        <f>SUBTOTAL(109,Tabela2456[JAN])</f>
        <v>51432.559999999976</v>
      </c>
      <c r="D47" s="130">
        <f>SUBTOTAL(109,Tabela2456[FEV])</f>
        <v>62675.890000000058</v>
      </c>
      <c r="E47" s="130">
        <f>SUBTOTAL(109,Tabela2456[MAR])</f>
        <v>69318.570000000022</v>
      </c>
      <c r="F47" s="130">
        <f>SUBTOTAL(109,Tabela2456[ABR])</f>
        <v>66858.289999999892</v>
      </c>
      <c r="G47" s="130">
        <f>SUBTOTAL(109,Tabela2456[MAI])</f>
        <v>74417.959999999977</v>
      </c>
      <c r="H47" s="130">
        <f>SUBTOTAL(109,Tabela2456[JUN])</f>
        <v>96396.549999999814</v>
      </c>
      <c r="I47" s="130">
        <f>SUBTOTAL(109,Tabela2456[JUL])</f>
        <v>78402.930000000022</v>
      </c>
      <c r="J47" s="130">
        <f>SUBTOTAL(109,Tabela2456[AGO])</f>
        <v>75304.739999999903</v>
      </c>
      <c r="K47" s="130">
        <f>SUBTOTAL(109,Tabela2456[SET])</f>
        <v>81501.76999999996</v>
      </c>
      <c r="L47" s="130">
        <f>SUBTOTAL(109,Tabela2456[OUT])</f>
        <v>76055.409999999945</v>
      </c>
      <c r="M47" s="130">
        <f>SUBTOTAL(109,Tabela2456[NOV])</f>
        <v>70244.47000000003</v>
      </c>
      <c r="N47" s="130">
        <f>SUBTOTAL(109,Tabela2456[DEZ])</f>
        <v>0</v>
      </c>
      <c r="O47" s="130">
        <f>SUBTOTAL(109,Tabela2456[2019])</f>
        <v>802609.13999999955</v>
      </c>
      <c r="P47" s="118"/>
    </row>
    <row r="48" spans="2:16" ht="17.25" thickTop="1" thickBot="1" x14ac:dyDescent="0.3">
      <c r="B48" s="181" t="s">
        <v>298</v>
      </c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</row>
    <row r="49" spans="1:16" ht="12" thickTop="1" x14ac:dyDescent="0.2">
      <c r="B49" s="1" t="s">
        <v>286</v>
      </c>
      <c r="C49" s="1" t="s">
        <v>1</v>
      </c>
      <c r="D49" s="1" t="s">
        <v>2</v>
      </c>
      <c r="E49" s="1" t="s">
        <v>3</v>
      </c>
      <c r="F49" s="1" t="s">
        <v>4</v>
      </c>
      <c r="G49" s="1" t="s">
        <v>5</v>
      </c>
      <c r="H49" s="1" t="s">
        <v>6</v>
      </c>
      <c r="I49" s="1" t="s">
        <v>7</v>
      </c>
      <c r="J49" s="1" t="s">
        <v>8</v>
      </c>
      <c r="K49" s="1" t="s">
        <v>9</v>
      </c>
      <c r="L49" s="1" t="s">
        <v>10</v>
      </c>
      <c r="M49" s="1" t="s">
        <v>11</v>
      </c>
      <c r="N49" s="1" t="s">
        <v>12</v>
      </c>
      <c r="O49" s="2" t="s">
        <v>241</v>
      </c>
      <c r="P49" s="1" t="s">
        <v>287</v>
      </c>
    </row>
    <row r="50" spans="1:16" x14ac:dyDescent="0.2">
      <c r="B50" s="1" t="s">
        <v>288</v>
      </c>
      <c r="C50" s="16">
        <v>78091.180000000037</v>
      </c>
      <c r="D50" s="16">
        <v>86289.240000000034</v>
      </c>
      <c r="E50" s="16">
        <v>63460.229999999974</v>
      </c>
      <c r="F50" s="16">
        <v>92243.250000000044</v>
      </c>
      <c r="G50" s="16">
        <v>63191.040000000045</v>
      </c>
      <c r="H50" s="16">
        <v>116897.41000000003</v>
      </c>
      <c r="I50" s="16">
        <v>70102.490000000005</v>
      </c>
      <c r="J50" s="16">
        <v>163333.25000000009</v>
      </c>
      <c r="K50" s="16">
        <v>49397.89</v>
      </c>
      <c r="L50" s="16">
        <v>70521.390000000014</v>
      </c>
      <c r="M50" s="16">
        <v>33989.120000000003</v>
      </c>
      <c r="N50" s="16"/>
      <c r="O50" s="17">
        <f>SUM(Tabela24568[[#This Row],[JAN]:[DEZ]])</f>
        <v>887516.49000000034</v>
      </c>
      <c r="P50" s="28">
        <f>Tabela24568[[#This Row],[2019]]/Tabela24568[[#Totals],[2019]]</f>
        <v>0.41080491842336586</v>
      </c>
    </row>
    <row r="51" spans="1:16" x14ac:dyDescent="0.2">
      <c r="B51" s="1" t="s">
        <v>289</v>
      </c>
      <c r="C51" s="16">
        <v>53137.920000000013</v>
      </c>
      <c r="D51" s="16">
        <v>118722.56000000004</v>
      </c>
      <c r="E51" s="16">
        <v>129733.12000000001</v>
      </c>
      <c r="F51" s="16">
        <v>141222.39999999999</v>
      </c>
      <c r="G51" s="16">
        <v>121116.16000000002</v>
      </c>
      <c r="H51" s="16">
        <v>157498.88000000009</v>
      </c>
      <c r="I51" s="16">
        <v>136435.20000000004</v>
      </c>
      <c r="J51" s="16">
        <v>33031.68</v>
      </c>
      <c r="K51" s="16">
        <v>146488.31999999998</v>
      </c>
      <c r="L51" s="16">
        <v>109626.88000000002</v>
      </c>
      <c r="M51" s="16">
        <v>125903.36000000002</v>
      </c>
      <c r="N51" s="16"/>
      <c r="O51" s="17">
        <f>SUM(Tabela24568[[#This Row],[JAN]:[DEZ]])</f>
        <v>1272916.4800000004</v>
      </c>
      <c r="P51" s="28">
        <f>Tabela24568[[#This Row],[2019]]/Tabela24568[[#Totals],[2019]]</f>
        <v>0.58919508157663414</v>
      </c>
    </row>
    <row r="52" spans="1:16" ht="12" thickBot="1" x14ac:dyDescent="0.25">
      <c r="B52" s="118"/>
      <c r="C52" s="130">
        <f>SUBTOTAL(109,Tabela24568[JAN])</f>
        <v>131229.10000000003</v>
      </c>
      <c r="D52" s="130">
        <f>SUBTOTAL(109,Tabela24568[FEV])</f>
        <v>205011.80000000008</v>
      </c>
      <c r="E52" s="130">
        <f>SUBTOTAL(109,Tabela24568[MAR])</f>
        <v>193193.34999999998</v>
      </c>
      <c r="F52" s="130">
        <f>SUBTOTAL(109,Tabela24568[ABR])</f>
        <v>233465.65000000002</v>
      </c>
      <c r="G52" s="130">
        <f>SUBTOTAL(109,Tabela24568[MAI])</f>
        <v>184307.20000000007</v>
      </c>
      <c r="H52" s="130">
        <f>SUBTOTAL(109,Tabela24568[JUN])</f>
        <v>274396.29000000015</v>
      </c>
      <c r="I52" s="130">
        <f>SUBTOTAL(109,Tabela24568[JUL])</f>
        <v>206537.69000000006</v>
      </c>
      <c r="J52" s="130">
        <f>SUBTOTAL(109,Tabela24568[AGO])</f>
        <v>196364.93000000008</v>
      </c>
      <c r="K52" s="130">
        <f>SUBTOTAL(109,Tabela24568[SET])</f>
        <v>195886.20999999996</v>
      </c>
      <c r="L52" s="130">
        <f>SUBTOTAL(109,Tabela24568[OUT])</f>
        <v>180148.27000000002</v>
      </c>
      <c r="M52" s="130">
        <f>SUBTOTAL(109,Tabela24568[NOV])</f>
        <v>159892.48000000001</v>
      </c>
      <c r="N52" s="130">
        <f>SUBTOTAL(109,Tabela24568[DEZ])</f>
        <v>0</v>
      </c>
      <c r="O52" s="130">
        <f>SUBTOTAL(109,Tabela24568[2019])</f>
        <v>2160432.9700000007</v>
      </c>
      <c r="P52" s="118"/>
    </row>
    <row r="53" spans="1:16" ht="17.25" thickTop="1" thickBot="1" x14ac:dyDescent="0.3">
      <c r="B53" s="181" t="s">
        <v>299</v>
      </c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</row>
    <row r="54" spans="1:16" ht="12" thickTop="1" x14ac:dyDescent="0.2">
      <c r="B54" s="1" t="s">
        <v>286</v>
      </c>
      <c r="C54" s="1" t="s">
        <v>1</v>
      </c>
      <c r="D54" s="1" t="s">
        <v>2</v>
      </c>
      <c r="E54" s="1" t="s">
        <v>3</v>
      </c>
      <c r="F54" s="1" t="s">
        <v>4</v>
      </c>
      <c r="G54" s="1" t="s">
        <v>5</v>
      </c>
      <c r="H54" s="1" t="s">
        <v>6</v>
      </c>
      <c r="I54" s="1" t="s">
        <v>7</v>
      </c>
      <c r="J54" s="1" t="s">
        <v>8</v>
      </c>
      <c r="K54" s="1" t="s">
        <v>9</v>
      </c>
      <c r="L54" s="1" t="s">
        <v>10</v>
      </c>
      <c r="M54" s="1" t="s">
        <v>11</v>
      </c>
      <c r="N54" s="1" t="s">
        <v>12</v>
      </c>
      <c r="O54" s="2" t="s">
        <v>241</v>
      </c>
      <c r="P54" s="1" t="s">
        <v>287</v>
      </c>
    </row>
    <row r="55" spans="1:16" x14ac:dyDescent="0.2">
      <c r="B55" s="1" t="s">
        <v>288</v>
      </c>
      <c r="C55" s="16">
        <v>3037.26</v>
      </c>
      <c r="D55" s="16">
        <v>5554.52</v>
      </c>
      <c r="E55" s="16">
        <v>12708.970000000005</v>
      </c>
      <c r="F55" s="16">
        <v>16184.930000000004</v>
      </c>
      <c r="G55" s="16">
        <v>0</v>
      </c>
      <c r="H55" s="16">
        <v>5975.89</v>
      </c>
      <c r="I55" s="16">
        <v>11871.71</v>
      </c>
      <c r="J55" s="16">
        <v>4985.8900000000003</v>
      </c>
      <c r="K55" s="16">
        <v>5417.1900000000005</v>
      </c>
      <c r="L55" s="16">
        <v>8373.1500000000015</v>
      </c>
      <c r="M55" s="16">
        <v>1425.84</v>
      </c>
      <c r="N55" s="16"/>
      <c r="O55" s="17">
        <f>SUM(Tabela245689[[#This Row],[JAN]:[DEZ]])</f>
        <v>75535.350000000006</v>
      </c>
      <c r="P55" s="28">
        <f>Tabela245689[[#This Row],[2019]]/Tabela245689[[#Totals],[2019]]</f>
        <v>0.93382536291807605</v>
      </c>
    </row>
    <row r="56" spans="1:16" x14ac:dyDescent="0.2">
      <c r="B56" s="1" t="s">
        <v>289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2130.7199999999998</v>
      </c>
      <c r="I56" s="16">
        <v>0</v>
      </c>
      <c r="J56" s="16">
        <v>1815.36</v>
      </c>
      <c r="K56" s="16">
        <v>1065.3599999999999</v>
      </c>
      <c r="L56" s="16">
        <v>0</v>
      </c>
      <c r="M56" s="16">
        <v>341.3</v>
      </c>
      <c r="N56" s="16"/>
      <c r="O56" s="17">
        <f>SUM(Tabela245689[[#This Row],[JAN]:[DEZ]])</f>
        <v>5352.74</v>
      </c>
      <c r="P56" s="28">
        <f>Tabela245689[[#This Row],[2019]]/Tabela245689[[#Totals],[2019]]</f>
        <v>6.617463708192392E-2</v>
      </c>
    </row>
    <row r="57" spans="1:16" ht="12" thickBot="1" x14ac:dyDescent="0.25">
      <c r="B57" s="118"/>
      <c r="C57" s="130">
        <f>SUBTOTAL(109,Tabela245689[JAN])</f>
        <v>3037.26</v>
      </c>
      <c r="D57" s="130">
        <f>SUBTOTAL(109,Tabela245689[FEV])</f>
        <v>5554.52</v>
      </c>
      <c r="E57" s="130">
        <f>SUBTOTAL(109,Tabela245689[MAR])</f>
        <v>12708.970000000005</v>
      </c>
      <c r="F57" s="130">
        <f>SUBTOTAL(109,Tabela245689[ABR])</f>
        <v>16184.930000000004</v>
      </c>
      <c r="G57" s="130">
        <f>SUBTOTAL(109,Tabela245689[MAI])</f>
        <v>0</v>
      </c>
      <c r="H57" s="130">
        <f>SUBTOTAL(109,Tabela245689[JUN])</f>
        <v>8106.6100000000006</v>
      </c>
      <c r="I57" s="130">
        <f>SUBTOTAL(109,Tabela245689[JUL])</f>
        <v>11871.71</v>
      </c>
      <c r="J57" s="130">
        <f>SUBTOTAL(109,Tabela245689[AGO])</f>
        <v>6801.25</v>
      </c>
      <c r="K57" s="130">
        <f>SUBTOTAL(109,Tabela245689[SET])</f>
        <v>6482.55</v>
      </c>
      <c r="L57" s="130">
        <f>SUBTOTAL(109,Tabela245689[OUT])</f>
        <v>8373.1500000000015</v>
      </c>
      <c r="M57" s="130">
        <f>SUBTOTAL(109,Tabela245689[NOV])</f>
        <v>1767.1399999999999</v>
      </c>
      <c r="N57" s="130">
        <f>SUBTOTAL(109,Tabela245689[DEZ])</f>
        <v>0</v>
      </c>
      <c r="O57" s="130">
        <f>SUBTOTAL(109,Tabela245689[2019])</f>
        <v>80888.090000000011</v>
      </c>
      <c r="P57" s="118"/>
    </row>
    <row r="58" spans="1:16" ht="17.25" thickTop="1" thickBot="1" x14ac:dyDescent="0.3">
      <c r="B58" s="191" t="s">
        <v>300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</row>
    <row r="59" spans="1:16" ht="12" thickTop="1" x14ac:dyDescent="0.2">
      <c r="A59" s="1" t="s">
        <v>301</v>
      </c>
      <c r="B59" s="1" t="s">
        <v>302</v>
      </c>
      <c r="C59" s="1" t="s">
        <v>1</v>
      </c>
      <c r="D59" s="1" t="s">
        <v>2</v>
      </c>
      <c r="E59" s="1" t="s">
        <v>3</v>
      </c>
      <c r="F59" s="1" t="s">
        <v>4</v>
      </c>
      <c r="G59" s="1" t="s">
        <v>5</v>
      </c>
      <c r="H59" s="1" t="s">
        <v>6</v>
      </c>
      <c r="I59" s="1" t="s">
        <v>7</v>
      </c>
      <c r="J59" s="1" t="s">
        <v>8</v>
      </c>
      <c r="K59" s="1" t="s">
        <v>9</v>
      </c>
      <c r="L59" s="1" t="s">
        <v>10</v>
      </c>
      <c r="M59" s="1" t="s">
        <v>11</v>
      </c>
      <c r="N59" s="1" t="s">
        <v>12</v>
      </c>
      <c r="O59" s="2" t="s">
        <v>241</v>
      </c>
      <c r="P59" s="1" t="s">
        <v>287</v>
      </c>
    </row>
    <row r="60" spans="1:16" x14ac:dyDescent="0.2">
      <c r="A60" s="1">
        <v>40008</v>
      </c>
      <c r="B60" s="1" t="s">
        <v>330</v>
      </c>
      <c r="C60" s="9">
        <v>0</v>
      </c>
      <c r="D60" s="9">
        <v>2</v>
      </c>
      <c r="E60" s="9">
        <v>10</v>
      </c>
      <c r="F60" s="9">
        <v>4</v>
      </c>
      <c r="G60" s="9">
        <v>1</v>
      </c>
      <c r="H60" s="9">
        <v>5</v>
      </c>
      <c r="I60" s="9">
        <v>2</v>
      </c>
      <c r="J60" s="9">
        <v>1</v>
      </c>
      <c r="K60" s="9">
        <v>1</v>
      </c>
      <c r="L60" s="9">
        <v>0</v>
      </c>
      <c r="M60" s="9">
        <v>0</v>
      </c>
      <c r="N60" s="9"/>
      <c r="O60" s="14">
        <f>SUM(Tabela215[[#This Row],[JAN]:[DEZ]])</f>
        <v>26</v>
      </c>
      <c r="P60" s="28">
        <f>Tabela215[[#This Row],[2019]]/Tabela215[[#Totals],[2019]]</f>
        <v>1.4016172506738544E-2</v>
      </c>
    </row>
    <row r="61" spans="1:16" x14ac:dyDescent="0.2">
      <c r="A61" s="1">
        <v>60072</v>
      </c>
      <c r="B61" s="1" t="s">
        <v>331</v>
      </c>
      <c r="C61" s="9">
        <v>1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1</v>
      </c>
      <c r="M61" s="9">
        <v>0</v>
      </c>
      <c r="N61" s="9"/>
      <c r="O61" s="14">
        <f>SUM(Tabela215[[#This Row],[JAN]:[DEZ]])</f>
        <v>2</v>
      </c>
      <c r="P61" s="28">
        <f>Tabela215[[#This Row],[2019]]/Tabela215[[#Totals],[2019]]</f>
        <v>1.0781671159029651E-3</v>
      </c>
    </row>
    <row r="62" spans="1:16" x14ac:dyDescent="0.2">
      <c r="A62" s="1">
        <v>60082</v>
      </c>
      <c r="B62" s="1" t="s">
        <v>332</v>
      </c>
      <c r="C62" s="9">
        <v>70</v>
      </c>
      <c r="D62" s="9">
        <v>125</v>
      </c>
      <c r="E62" s="9">
        <v>220</v>
      </c>
      <c r="F62" s="9">
        <v>56</v>
      </c>
      <c r="G62" s="9">
        <v>186</v>
      </c>
      <c r="H62" s="9">
        <v>198</v>
      </c>
      <c r="I62" s="9">
        <v>193</v>
      </c>
      <c r="J62" s="9">
        <v>55</v>
      </c>
      <c r="K62" s="9">
        <v>275</v>
      </c>
      <c r="L62" s="9">
        <v>140</v>
      </c>
      <c r="M62" s="9">
        <v>174</v>
      </c>
      <c r="N62" s="9"/>
      <c r="O62" s="14">
        <f>SUM(Tabela215[[#This Row],[JAN]:[DEZ]])</f>
        <v>1692</v>
      </c>
      <c r="P62" s="28">
        <f>Tabela215[[#This Row],[2019]]/Tabela215[[#Totals],[2019]]</f>
        <v>0.91212938005390831</v>
      </c>
    </row>
    <row r="63" spans="1:16" x14ac:dyDescent="0.2">
      <c r="A63" s="1">
        <v>60120</v>
      </c>
      <c r="B63" s="1" t="s">
        <v>333</v>
      </c>
      <c r="C63" s="9">
        <v>13</v>
      </c>
      <c r="D63" s="9">
        <v>8</v>
      </c>
      <c r="E63" s="9">
        <v>11</v>
      </c>
      <c r="F63" s="9">
        <v>3</v>
      </c>
      <c r="G63" s="9">
        <v>15</v>
      </c>
      <c r="H63" s="9">
        <v>19</v>
      </c>
      <c r="I63" s="9">
        <v>14</v>
      </c>
      <c r="J63" s="9">
        <v>14</v>
      </c>
      <c r="K63" s="9">
        <v>7</v>
      </c>
      <c r="L63" s="9">
        <v>6</v>
      </c>
      <c r="M63" s="9">
        <v>19</v>
      </c>
      <c r="N63" s="9"/>
      <c r="O63" s="14">
        <f>SUM(Tabela215[[#This Row],[JAN]:[DEZ]])</f>
        <v>129</v>
      </c>
      <c r="P63" s="28">
        <f>Tabela215[[#This Row],[2019]]/Tabela215[[#Totals],[2019]]</f>
        <v>6.9541778975741236E-2</v>
      </c>
    </row>
    <row r="64" spans="1:16" x14ac:dyDescent="0.2">
      <c r="B64" s="118" t="s">
        <v>126</v>
      </c>
      <c r="C64" s="119">
        <v>1</v>
      </c>
      <c r="D64" s="119">
        <v>0</v>
      </c>
      <c r="E64" s="119">
        <v>2</v>
      </c>
      <c r="F64" s="119">
        <v>0</v>
      </c>
      <c r="G64" s="119">
        <v>0</v>
      </c>
      <c r="H64" s="119">
        <v>1</v>
      </c>
      <c r="I64" s="119">
        <v>2</v>
      </c>
      <c r="J64" s="119">
        <v>0</v>
      </c>
      <c r="K64" s="119">
        <v>0</v>
      </c>
      <c r="L64" s="119">
        <v>0</v>
      </c>
      <c r="M64" s="119">
        <v>0</v>
      </c>
      <c r="N64" s="119"/>
      <c r="O64" s="120">
        <f>SUM(Tabela215[[#This Row],[JAN]:[DEZ]])</f>
        <v>6</v>
      </c>
      <c r="P64" s="126">
        <f>Tabela215[[#This Row],[2019]]/Tabela215[[#Totals],[2019]]</f>
        <v>3.234501347708895E-3</v>
      </c>
    </row>
    <row r="65" spans="1:16" ht="12" thickBot="1" x14ac:dyDescent="0.25">
      <c r="B65" s="118"/>
      <c r="C65" s="119">
        <f>SUBTOTAL(109,Tabela215[JAN])</f>
        <v>85</v>
      </c>
      <c r="D65" s="119">
        <f>SUBTOTAL(109,Tabela215[FEV])</f>
        <v>135</v>
      </c>
      <c r="E65" s="119">
        <f>SUBTOTAL(109,Tabela215[MAR])</f>
        <v>243</v>
      </c>
      <c r="F65" s="119">
        <f>SUBTOTAL(109,Tabela215[ABR])</f>
        <v>63</v>
      </c>
      <c r="G65" s="119">
        <f>SUBTOTAL(109,Tabela215[MAI])</f>
        <v>202</v>
      </c>
      <c r="H65" s="119">
        <f>SUBTOTAL(109,Tabela215[JUN])</f>
        <v>223</v>
      </c>
      <c r="I65" s="119">
        <f>SUBTOTAL(109,Tabela215[JUL])</f>
        <v>211</v>
      </c>
      <c r="J65" s="119">
        <f>SUBTOTAL(109,Tabela215[AGO])</f>
        <v>70</v>
      </c>
      <c r="K65" s="119">
        <f>SUBTOTAL(109,Tabela215[SET])</f>
        <v>283</v>
      </c>
      <c r="L65" s="119">
        <f>SUBTOTAL(109,Tabela215[OUT])</f>
        <v>147</v>
      </c>
      <c r="M65" s="119">
        <f>SUBTOTAL(109,Tabela215[NOV])</f>
        <v>193</v>
      </c>
      <c r="N65" s="119">
        <f>SUBTOTAL(109,Tabela215[DEZ])</f>
        <v>0</v>
      </c>
      <c r="O65" s="119">
        <f>SUBTOTAL(109,Tabela215[2019])</f>
        <v>1855</v>
      </c>
      <c r="P65" s="118"/>
    </row>
    <row r="66" spans="1:16" ht="17.25" thickTop="1" thickBot="1" x14ac:dyDescent="0.3">
      <c r="B66" s="191" t="s">
        <v>303</v>
      </c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</row>
    <row r="67" spans="1:16" ht="12" thickTop="1" x14ac:dyDescent="0.2">
      <c r="A67" s="1" t="s">
        <v>301</v>
      </c>
      <c r="B67" s="1" t="s">
        <v>302</v>
      </c>
      <c r="C67" s="1" t="s">
        <v>1</v>
      </c>
      <c r="D67" s="1" t="s">
        <v>2</v>
      </c>
      <c r="E67" s="1" t="s">
        <v>3</v>
      </c>
      <c r="F67" s="1" t="s">
        <v>4</v>
      </c>
      <c r="G67" s="1" t="s">
        <v>5</v>
      </c>
      <c r="H67" s="1" t="s">
        <v>6</v>
      </c>
      <c r="I67" s="1" t="s">
        <v>7</v>
      </c>
      <c r="J67" s="1" t="s">
        <v>8</v>
      </c>
      <c r="K67" s="1" t="s">
        <v>9</v>
      </c>
      <c r="L67" s="1" t="s">
        <v>10</v>
      </c>
      <c r="M67" s="1" t="s">
        <v>11</v>
      </c>
      <c r="N67" s="1" t="s">
        <v>12</v>
      </c>
      <c r="O67" s="2" t="s">
        <v>241</v>
      </c>
      <c r="P67" s="1" t="s">
        <v>287</v>
      </c>
    </row>
    <row r="68" spans="1:16" x14ac:dyDescent="0.2">
      <c r="A68" s="1">
        <v>40008</v>
      </c>
      <c r="B68" s="1" t="s">
        <v>330</v>
      </c>
      <c r="C68" s="9">
        <v>0</v>
      </c>
      <c r="D68" s="9">
        <v>15</v>
      </c>
      <c r="E68" s="9">
        <v>87</v>
      </c>
      <c r="F68" s="9">
        <v>62</v>
      </c>
      <c r="G68" s="9">
        <v>6</v>
      </c>
      <c r="H68" s="9">
        <v>92</v>
      </c>
      <c r="I68" s="9">
        <v>5</v>
      </c>
      <c r="J68" s="9">
        <v>0</v>
      </c>
      <c r="K68" s="9">
        <v>31</v>
      </c>
      <c r="L68" s="9">
        <v>0</v>
      </c>
      <c r="M68" s="9">
        <v>0</v>
      </c>
      <c r="N68" s="9"/>
      <c r="O68" s="14">
        <f>SUM(Tabela21517[[#This Row],[JAN]:[DEZ]])</f>
        <v>298</v>
      </c>
      <c r="P68" s="28">
        <f>Tabela21517[[#This Row],[2019]]/Tabela21517[[#Totals],[2019]]</f>
        <v>1.1371007746022056E-2</v>
      </c>
    </row>
    <row r="69" spans="1:16" x14ac:dyDescent="0.2">
      <c r="A69" s="1">
        <v>60072</v>
      </c>
      <c r="B69" s="1" t="s">
        <v>331</v>
      </c>
      <c r="C69" s="9">
        <v>5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1</v>
      </c>
      <c r="M69" s="9">
        <v>0</v>
      </c>
      <c r="N69" s="9"/>
      <c r="O69" s="14">
        <f>SUM(Tabela21517[[#This Row],[JAN]:[DEZ]])</f>
        <v>6</v>
      </c>
      <c r="P69" s="28">
        <f>Tabela21517[[#This Row],[2019]]/Tabela21517[[#Totals],[2019]]</f>
        <v>2.2894646468500781E-4</v>
      </c>
    </row>
    <row r="70" spans="1:16" x14ac:dyDescent="0.2">
      <c r="A70" s="1">
        <v>60082</v>
      </c>
      <c r="B70" s="1" t="s">
        <v>332</v>
      </c>
      <c r="C70" s="9">
        <v>1039</v>
      </c>
      <c r="D70" s="9">
        <v>1891</v>
      </c>
      <c r="E70" s="9">
        <v>2703</v>
      </c>
      <c r="F70" s="9">
        <v>1344</v>
      </c>
      <c r="G70" s="9">
        <v>2361</v>
      </c>
      <c r="H70" s="9">
        <v>3001</v>
      </c>
      <c r="I70" s="9">
        <v>2383</v>
      </c>
      <c r="J70" s="9">
        <v>1520</v>
      </c>
      <c r="K70" s="9">
        <v>3889</v>
      </c>
      <c r="L70" s="9">
        <v>2075</v>
      </c>
      <c r="M70" s="9">
        <v>2718</v>
      </c>
      <c r="N70" s="9"/>
      <c r="O70" s="14">
        <f>SUM(Tabela21517[[#This Row],[JAN]:[DEZ]])</f>
        <v>24924</v>
      </c>
      <c r="P70" s="28">
        <f>Tabela21517[[#This Row],[2019]]/Tabela21517[[#Totals],[2019]]</f>
        <v>0.95104361430152251</v>
      </c>
    </row>
    <row r="71" spans="1:16" x14ac:dyDescent="0.2">
      <c r="A71" s="1">
        <v>60120</v>
      </c>
      <c r="B71" s="1" t="s">
        <v>333</v>
      </c>
      <c r="C71" s="9">
        <v>79</v>
      </c>
      <c r="D71" s="9">
        <v>78</v>
      </c>
      <c r="E71" s="9">
        <v>86</v>
      </c>
      <c r="F71" s="9">
        <v>20</v>
      </c>
      <c r="G71" s="9">
        <v>103</v>
      </c>
      <c r="H71" s="9">
        <v>54</v>
      </c>
      <c r="I71" s="9">
        <v>202</v>
      </c>
      <c r="J71" s="9">
        <v>144</v>
      </c>
      <c r="K71" s="9">
        <v>66</v>
      </c>
      <c r="L71" s="9">
        <v>37</v>
      </c>
      <c r="M71" s="9">
        <v>66</v>
      </c>
      <c r="N71" s="9"/>
      <c r="O71" s="14">
        <f>SUM(Tabela21517[[#This Row],[JAN]:[DEZ]])</f>
        <v>935</v>
      </c>
      <c r="P71" s="28">
        <f>Tabela21517[[#This Row],[2019]]/Tabela21517[[#Totals],[2019]]</f>
        <v>3.5677490746747052E-2</v>
      </c>
    </row>
    <row r="72" spans="1:16" x14ac:dyDescent="0.2">
      <c r="B72" s="118" t="s">
        <v>126</v>
      </c>
      <c r="C72" s="119">
        <v>1</v>
      </c>
      <c r="D72" s="119">
        <v>0</v>
      </c>
      <c r="E72" s="119">
        <v>4</v>
      </c>
      <c r="F72" s="119">
        <v>0</v>
      </c>
      <c r="G72" s="119">
        <v>0</v>
      </c>
      <c r="H72" s="119">
        <v>1</v>
      </c>
      <c r="I72" s="119">
        <v>38</v>
      </c>
      <c r="J72" s="119">
        <v>0</v>
      </c>
      <c r="K72" s="119">
        <v>0</v>
      </c>
      <c r="L72" s="119">
        <v>0</v>
      </c>
      <c r="M72" s="119">
        <v>0</v>
      </c>
      <c r="N72" s="119"/>
      <c r="O72" s="120">
        <f>SUM(Tabela21517[[#This Row],[JAN]:[DEZ]])</f>
        <v>44</v>
      </c>
      <c r="P72" s="126">
        <f>Tabela21517[[#This Row],[2019]]/Tabela21517[[#Totals],[2019]]</f>
        <v>1.6789407410233907E-3</v>
      </c>
    </row>
    <row r="73" spans="1:16" ht="12" thickBot="1" x14ac:dyDescent="0.25">
      <c r="B73" s="118"/>
      <c r="C73" s="119">
        <f>SUBTOTAL(109,Tabela21517[JAN])</f>
        <v>1124</v>
      </c>
      <c r="D73" s="119">
        <f>SUBTOTAL(109,Tabela21517[FEV])</f>
        <v>1984</v>
      </c>
      <c r="E73" s="119">
        <f>SUBTOTAL(109,Tabela21517[MAR])</f>
        <v>2880</v>
      </c>
      <c r="F73" s="119">
        <f>SUBTOTAL(109,Tabela21517[ABR])</f>
        <v>1426</v>
      </c>
      <c r="G73" s="119">
        <f>SUBTOTAL(109,Tabela21517[MAI])</f>
        <v>2470</v>
      </c>
      <c r="H73" s="119">
        <f>SUBTOTAL(109,Tabela21517[JUN])</f>
        <v>3148</v>
      </c>
      <c r="I73" s="119">
        <f>SUBTOTAL(109,Tabela21517[JUL])</f>
        <v>2628</v>
      </c>
      <c r="J73" s="119">
        <f>SUBTOTAL(109,Tabela21517[AGO])</f>
        <v>1664</v>
      </c>
      <c r="K73" s="119">
        <f>SUBTOTAL(109,Tabela21517[SET])</f>
        <v>3986</v>
      </c>
      <c r="L73" s="119">
        <f>SUBTOTAL(109,Tabela21517[OUT])</f>
        <v>2113</v>
      </c>
      <c r="M73" s="119">
        <f>SUBTOTAL(109,Tabela21517[NOV])</f>
        <v>2784</v>
      </c>
      <c r="N73" s="119">
        <f>SUBTOTAL(109,Tabela21517[DEZ])</f>
        <v>0</v>
      </c>
      <c r="O73" s="119">
        <f>SUBTOTAL(109,Tabela21517[2019])</f>
        <v>26207</v>
      </c>
      <c r="P73" s="118"/>
    </row>
    <row r="74" spans="1:16" ht="17.25" thickTop="1" thickBot="1" x14ac:dyDescent="0.3">
      <c r="B74" s="192" t="s">
        <v>304</v>
      </c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</row>
    <row r="75" spans="1:16" ht="12" thickTop="1" x14ac:dyDescent="0.2">
      <c r="A75" s="1" t="s">
        <v>301</v>
      </c>
      <c r="B75" s="1" t="s">
        <v>302</v>
      </c>
      <c r="C75" s="1" t="s">
        <v>1</v>
      </c>
      <c r="D75" s="1" t="s">
        <v>2</v>
      </c>
      <c r="E75" s="1" t="s">
        <v>3</v>
      </c>
      <c r="F75" s="1" t="s">
        <v>4</v>
      </c>
      <c r="G75" s="1" t="s">
        <v>5</v>
      </c>
      <c r="H75" s="1" t="s">
        <v>6</v>
      </c>
      <c r="I75" s="1" t="s">
        <v>7</v>
      </c>
      <c r="J75" s="1" t="s">
        <v>8</v>
      </c>
      <c r="K75" s="1" t="s">
        <v>9</v>
      </c>
      <c r="L75" s="1" t="s">
        <v>10</v>
      </c>
      <c r="M75" s="1" t="s">
        <v>11</v>
      </c>
      <c r="N75" s="1" t="s">
        <v>12</v>
      </c>
      <c r="O75" s="2" t="s">
        <v>241</v>
      </c>
    </row>
    <row r="76" spans="1:16" x14ac:dyDescent="0.2">
      <c r="A76" s="1">
        <v>40008</v>
      </c>
      <c r="B76" s="1" t="s">
        <v>330</v>
      </c>
      <c r="C76" s="125" t="s">
        <v>278</v>
      </c>
      <c r="D76" s="125">
        <v>7.5</v>
      </c>
      <c r="E76" s="125">
        <v>8.6999999999999993</v>
      </c>
      <c r="F76" s="125">
        <v>15.5</v>
      </c>
      <c r="G76" s="125">
        <v>6</v>
      </c>
      <c r="H76" s="125">
        <v>18.399999999999999</v>
      </c>
      <c r="I76" s="125">
        <v>2.5</v>
      </c>
      <c r="J76" s="125" t="s">
        <v>278</v>
      </c>
      <c r="K76" s="125">
        <v>31</v>
      </c>
      <c r="L76" s="125" t="s">
        <v>278</v>
      </c>
      <c r="M76" s="125" t="s">
        <v>278</v>
      </c>
      <c r="N76" s="125" t="s">
        <v>278</v>
      </c>
      <c r="O76" s="127">
        <v>11.461538461538462</v>
      </c>
    </row>
    <row r="77" spans="1:16" x14ac:dyDescent="0.2">
      <c r="A77" s="1">
        <v>60072</v>
      </c>
      <c r="B77" s="1" t="s">
        <v>331</v>
      </c>
      <c r="C77" s="125">
        <v>5</v>
      </c>
      <c r="D77" s="125" t="s">
        <v>278</v>
      </c>
      <c r="E77" s="125" t="s">
        <v>278</v>
      </c>
      <c r="F77" s="125" t="s">
        <v>278</v>
      </c>
      <c r="G77" s="125" t="s">
        <v>278</v>
      </c>
      <c r="H77" s="125" t="s">
        <v>278</v>
      </c>
      <c r="I77" s="125" t="s">
        <v>278</v>
      </c>
      <c r="J77" s="125" t="s">
        <v>278</v>
      </c>
      <c r="K77" s="125" t="s">
        <v>278</v>
      </c>
      <c r="L77" s="125">
        <v>1</v>
      </c>
      <c r="M77" s="125" t="s">
        <v>278</v>
      </c>
      <c r="N77" s="125" t="s">
        <v>278</v>
      </c>
      <c r="O77" s="127">
        <v>3</v>
      </c>
    </row>
    <row r="78" spans="1:16" x14ac:dyDescent="0.2">
      <c r="A78" s="1">
        <v>60082</v>
      </c>
      <c r="B78" s="1" t="s">
        <v>332</v>
      </c>
      <c r="C78" s="125">
        <v>14.842857142857143</v>
      </c>
      <c r="D78" s="125">
        <v>15.128</v>
      </c>
      <c r="E78" s="125">
        <v>12.286363636363637</v>
      </c>
      <c r="F78" s="125">
        <v>24</v>
      </c>
      <c r="G78" s="125">
        <v>12.693548387096774</v>
      </c>
      <c r="H78" s="125">
        <v>15.156565656565656</v>
      </c>
      <c r="I78" s="125">
        <v>12.347150259067357</v>
      </c>
      <c r="J78" s="125">
        <v>27.636363636363637</v>
      </c>
      <c r="K78" s="125">
        <v>14.141818181818183</v>
      </c>
      <c r="L78" s="125">
        <v>14.821428571428571</v>
      </c>
      <c r="M78" s="125">
        <v>15.620689655172415</v>
      </c>
      <c r="N78" s="125" t="s">
        <v>278</v>
      </c>
      <c r="O78" s="127">
        <v>14.730496453900709</v>
      </c>
    </row>
    <row r="79" spans="1:16" x14ac:dyDescent="0.2">
      <c r="A79" s="1">
        <v>60120</v>
      </c>
      <c r="B79" s="1" t="s">
        <v>333</v>
      </c>
      <c r="C79" s="125">
        <v>6.0769230769230766</v>
      </c>
      <c r="D79" s="125">
        <v>9.75</v>
      </c>
      <c r="E79" s="125">
        <v>7.8181818181818183</v>
      </c>
      <c r="F79" s="125">
        <v>6.666666666666667</v>
      </c>
      <c r="G79" s="125">
        <v>6.8666666666666663</v>
      </c>
      <c r="H79" s="125">
        <v>2.8421052631578947</v>
      </c>
      <c r="I79" s="125">
        <v>14.428571428571429</v>
      </c>
      <c r="J79" s="125">
        <v>10.285714285714286</v>
      </c>
      <c r="K79" s="125">
        <v>9.4285714285714288</v>
      </c>
      <c r="L79" s="125">
        <v>6.166666666666667</v>
      </c>
      <c r="M79" s="125">
        <v>3.4736842105263159</v>
      </c>
      <c r="N79" s="125" t="s">
        <v>278</v>
      </c>
      <c r="O79" s="127">
        <v>7.2480620155038764</v>
      </c>
    </row>
    <row r="80" spans="1:16" x14ac:dyDescent="0.2">
      <c r="B80" s="118" t="s">
        <v>126</v>
      </c>
      <c r="C80" s="128">
        <v>1</v>
      </c>
      <c r="D80" s="128" t="s">
        <v>278</v>
      </c>
      <c r="E80" s="128">
        <v>2</v>
      </c>
      <c r="F80" s="128" t="s">
        <v>278</v>
      </c>
      <c r="G80" s="128" t="s">
        <v>278</v>
      </c>
      <c r="H80" s="128">
        <v>1</v>
      </c>
      <c r="I80" s="128">
        <v>19</v>
      </c>
      <c r="J80" s="128" t="s">
        <v>278</v>
      </c>
      <c r="K80" s="128" t="s">
        <v>278</v>
      </c>
      <c r="L80" s="128" t="s">
        <v>278</v>
      </c>
      <c r="M80" s="128" t="s">
        <v>278</v>
      </c>
      <c r="N80" s="128" t="s">
        <v>278</v>
      </c>
      <c r="O80" s="127">
        <v>7.333333333333333</v>
      </c>
    </row>
    <row r="81" spans="1:16" ht="12" thickBot="1" x14ac:dyDescent="0.25">
      <c r="B81" s="118"/>
      <c r="C81" s="136" t="s">
        <v>321</v>
      </c>
      <c r="D81" s="136" t="s">
        <v>322</v>
      </c>
      <c r="E81" s="136" t="s">
        <v>323</v>
      </c>
      <c r="F81" s="136" t="s">
        <v>324</v>
      </c>
      <c r="G81" s="136" t="s">
        <v>366</v>
      </c>
      <c r="H81" s="136" t="s">
        <v>367</v>
      </c>
      <c r="I81" s="136" t="s">
        <v>374</v>
      </c>
      <c r="J81" s="136" t="s">
        <v>394</v>
      </c>
      <c r="K81" s="136" t="s">
        <v>393</v>
      </c>
      <c r="L81" s="136" t="s">
        <v>316</v>
      </c>
      <c r="M81" s="136" t="s">
        <v>406</v>
      </c>
      <c r="N81" s="136" t="s">
        <v>316</v>
      </c>
      <c r="O81" s="136" t="s">
        <v>407</v>
      </c>
    </row>
    <row r="82" spans="1:16" ht="17.25" thickTop="1" thickBot="1" x14ac:dyDescent="0.3">
      <c r="B82" s="191" t="s">
        <v>305</v>
      </c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</row>
    <row r="83" spans="1:16" ht="12" thickTop="1" x14ac:dyDescent="0.2">
      <c r="A83" s="1" t="s">
        <v>301</v>
      </c>
      <c r="B83" s="1" t="s">
        <v>302</v>
      </c>
      <c r="C83" s="1" t="s">
        <v>1</v>
      </c>
      <c r="D83" s="1" t="s">
        <v>2</v>
      </c>
      <c r="E83" s="1" t="s">
        <v>3</v>
      </c>
      <c r="F83" s="1" t="s">
        <v>4</v>
      </c>
      <c r="G83" s="1" t="s">
        <v>5</v>
      </c>
      <c r="H83" s="1" t="s">
        <v>6</v>
      </c>
      <c r="I83" s="1" t="s">
        <v>7</v>
      </c>
      <c r="J83" s="1" t="s">
        <v>8</v>
      </c>
      <c r="K83" s="1" t="s">
        <v>9</v>
      </c>
      <c r="L83" s="1" t="s">
        <v>10</v>
      </c>
      <c r="M83" s="1" t="s">
        <v>11</v>
      </c>
      <c r="N83" s="1" t="s">
        <v>12</v>
      </c>
      <c r="O83" s="2" t="s">
        <v>241</v>
      </c>
      <c r="P83" s="1" t="s">
        <v>287</v>
      </c>
    </row>
    <row r="84" spans="1:16" x14ac:dyDescent="0.2">
      <c r="A84" s="1">
        <v>40008</v>
      </c>
      <c r="B84" s="1" t="s">
        <v>330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/>
      <c r="O84" s="14">
        <f>SUM(Tabela2151723[[#This Row],[JAN]:[DEZ]])</f>
        <v>0</v>
      </c>
      <c r="P84" s="28">
        <f>Tabela2151723[[#This Row],[2019]]/Tabela2151723[[#Totals],[2019]]</f>
        <v>0</v>
      </c>
    </row>
    <row r="85" spans="1:16" x14ac:dyDescent="0.2">
      <c r="A85" s="1">
        <v>60072</v>
      </c>
      <c r="B85" s="1" t="s">
        <v>331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/>
      <c r="O85" s="14">
        <f>SUM(Tabela2151723[[#This Row],[JAN]:[DEZ]])</f>
        <v>0</v>
      </c>
      <c r="P85" s="28">
        <f>Tabela2151723[[#This Row],[2019]]/Tabela2151723[[#Totals],[2019]]</f>
        <v>0</v>
      </c>
    </row>
    <row r="86" spans="1:16" x14ac:dyDescent="0.2">
      <c r="A86" s="1">
        <v>60082</v>
      </c>
      <c r="B86" s="1" t="s">
        <v>332</v>
      </c>
      <c r="C86" s="9">
        <v>5</v>
      </c>
      <c r="D86" s="9">
        <v>21</v>
      </c>
      <c r="E86" s="9">
        <v>20</v>
      </c>
      <c r="F86" s="9">
        <v>5</v>
      </c>
      <c r="G86" s="9">
        <v>24</v>
      </c>
      <c r="H86" s="9">
        <v>9</v>
      </c>
      <c r="I86" s="9">
        <v>24</v>
      </c>
      <c r="J86" s="9">
        <v>2</v>
      </c>
      <c r="K86" s="9">
        <v>17</v>
      </c>
      <c r="L86" s="9">
        <v>16</v>
      </c>
      <c r="M86" s="9">
        <v>14</v>
      </c>
      <c r="N86" s="9"/>
      <c r="O86" s="14">
        <f>SUM(Tabela2151723[[#This Row],[JAN]:[DEZ]])</f>
        <v>157</v>
      </c>
      <c r="P86" s="28">
        <f>Tabela2151723[[#This Row],[2019]]/Tabela2151723[[#Totals],[2019]]</f>
        <v>0.96913580246913578</v>
      </c>
    </row>
    <row r="87" spans="1:16" x14ac:dyDescent="0.2">
      <c r="A87" s="1">
        <v>60120</v>
      </c>
      <c r="B87" s="1" t="s">
        <v>333</v>
      </c>
      <c r="C87" s="9">
        <v>0</v>
      </c>
      <c r="D87" s="9">
        <v>0</v>
      </c>
      <c r="E87" s="9">
        <v>1</v>
      </c>
      <c r="F87" s="9">
        <v>0</v>
      </c>
      <c r="G87" s="9">
        <v>0</v>
      </c>
      <c r="H87" s="9">
        <v>0</v>
      </c>
      <c r="I87" s="9">
        <v>3</v>
      </c>
      <c r="J87" s="9">
        <v>0</v>
      </c>
      <c r="K87" s="9">
        <v>0</v>
      </c>
      <c r="L87" s="9">
        <v>0</v>
      </c>
      <c r="M87" s="9">
        <v>1</v>
      </c>
      <c r="N87" s="9"/>
      <c r="O87" s="14">
        <f>SUM(Tabela2151723[[#This Row],[JAN]:[DEZ]])</f>
        <v>5</v>
      </c>
      <c r="P87" s="28">
        <f>Tabela2151723[[#This Row],[2019]]/Tabela2151723[[#Totals],[2019]]</f>
        <v>3.0864197530864196E-2</v>
      </c>
    </row>
    <row r="88" spans="1:16" x14ac:dyDescent="0.2">
      <c r="B88" s="118" t="s">
        <v>126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/>
      <c r="O88" s="120">
        <f>SUM(Tabela2151723[[#This Row],[JAN]:[DEZ]])</f>
        <v>0</v>
      </c>
      <c r="P88" s="126">
        <f>Tabela2151723[[#This Row],[2019]]/Tabela2151723[[#Totals],[2019]]</f>
        <v>0</v>
      </c>
    </row>
    <row r="89" spans="1:16" ht="12" thickBot="1" x14ac:dyDescent="0.25">
      <c r="B89" s="118"/>
      <c r="C89" s="119">
        <f>SUBTOTAL(109,Tabela2151723[JAN])</f>
        <v>5</v>
      </c>
      <c r="D89" s="119">
        <f>SUBTOTAL(109,Tabela2151723[FEV])</f>
        <v>21</v>
      </c>
      <c r="E89" s="119">
        <f>SUBTOTAL(109,Tabela2151723[MAR])</f>
        <v>21</v>
      </c>
      <c r="F89" s="119">
        <f>SUBTOTAL(109,Tabela2151723[ABR])</f>
        <v>5</v>
      </c>
      <c r="G89" s="119">
        <f>SUBTOTAL(109,Tabela2151723[MAI])</f>
        <v>24</v>
      </c>
      <c r="H89" s="119">
        <f>SUBTOTAL(109,Tabela2151723[JUN])</f>
        <v>9</v>
      </c>
      <c r="I89" s="119">
        <f>SUBTOTAL(109,Tabela2151723[JUL])</f>
        <v>27</v>
      </c>
      <c r="J89" s="119">
        <f>SUBTOTAL(109,Tabela2151723[AGO])</f>
        <v>2</v>
      </c>
      <c r="K89" s="119">
        <f>SUBTOTAL(109,Tabela2151723[SET])</f>
        <v>17</v>
      </c>
      <c r="L89" s="119">
        <f>SUBTOTAL(109,Tabela2151723[OUT])</f>
        <v>16</v>
      </c>
      <c r="M89" s="119">
        <f>SUBTOTAL(109,Tabela2151723[NOV])</f>
        <v>15</v>
      </c>
      <c r="N89" s="119">
        <f>SUBTOTAL(109,Tabela2151723[DEZ])</f>
        <v>0</v>
      </c>
      <c r="O89" s="119">
        <f>SUBTOTAL(109,Tabela2151723[2019])</f>
        <v>162</v>
      </c>
      <c r="P89" s="118"/>
    </row>
    <row r="90" spans="1:16" ht="17.25" thickTop="1" thickBot="1" x14ac:dyDescent="0.3">
      <c r="B90" s="191" t="s">
        <v>306</v>
      </c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</row>
    <row r="91" spans="1:16" ht="12" thickTop="1" x14ac:dyDescent="0.2">
      <c r="A91" s="1" t="s">
        <v>301</v>
      </c>
      <c r="B91" s="1" t="s">
        <v>302</v>
      </c>
      <c r="C91" s="1" t="s">
        <v>1</v>
      </c>
      <c r="D91" s="1" t="s">
        <v>2</v>
      </c>
      <c r="E91" s="1" t="s">
        <v>3</v>
      </c>
      <c r="F91" s="1" t="s">
        <v>4</v>
      </c>
      <c r="G91" s="1" t="s">
        <v>5</v>
      </c>
      <c r="H91" s="1" t="s">
        <v>6</v>
      </c>
      <c r="I91" s="1" t="s">
        <v>7</v>
      </c>
      <c r="J91" s="1" t="s">
        <v>8</v>
      </c>
      <c r="K91" s="1" t="s">
        <v>9</v>
      </c>
      <c r="L91" s="1" t="s">
        <v>10</v>
      </c>
      <c r="M91" s="1" t="s">
        <v>11</v>
      </c>
      <c r="N91" s="1" t="s">
        <v>12</v>
      </c>
      <c r="O91" s="2" t="s">
        <v>241</v>
      </c>
      <c r="P91" s="1" t="s">
        <v>287</v>
      </c>
    </row>
    <row r="92" spans="1:16" x14ac:dyDescent="0.2">
      <c r="A92" s="1">
        <v>40008</v>
      </c>
      <c r="B92" s="1" t="s">
        <v>330</v>
      </c>
      <c r="C92" s="16">
        <v>0</v>
      </c>
      <c r="D92" s="16">
        <v>1492.8000000000002</v>
      </c>
      <c r="E92" s="16">
        <v>9268.510000000002</v>
      </c>
      <c r="F92" s="16">
        <v>4193.26</v>
      </c>
      <c r="G92" s="16">
        <v>218.12</v>
      </c>
      <c r="H92" s="16">
        <v>37663.300000000003</v>
      </c>
      <c r="I92" s="16">
        <v>3087.51</v>
      </c>
      <c r="J92" s="16">
        <v>610</v>
      </c>
      <c r="K92" s="16">
        <v>1676.69</v>
      </c>
      <c r="L92" s="16">
        <v>0</v>
      </c>
      <c r="M92" s="16">
        <v>0</v>
      </c>
      <c r="N92" s="16"/>
      <c r="O92" s="17">
        <f>SUM(Tabela2151719[[#This Row],[JAN]:[DEZ]])</f>
        <v>58210.19000000001</v>
      </c>
      <c r="P92" s="28">
        <f>Tabela2151719[[#This Row],[2019]]/Tabela2151719[[#Totals],[2019]]</f>
        <v>1.7627830608202583E-2</v>
      </c>
    </row>
    <row r="93" spans="1:16" x14ac:dyDescent="0.2">
      <c r="A93" s="1">
        <v>60072</v>
      </c>
      <c r="B93" s="1" t="s">
        <v>331</v>
      </c>
      <c r="C93" s="16">
        <v>248.49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420.51</v>
      </c>
      <c r="M93" s="16">
        <v>0</v>
      </c>
      <c r="N93" s="16"/>
      <c r="O93" s="17">
        <f>SUM(Tabela2151719[[#This Row],[JAN]:[DEZ]])</f>
        <v>669</v>
      </c>
      <c r="P93" s="28">
        <f>Tabela2151719[[#This Row],[2019]]/Tabela2151719[[#Totals],[2019]]</f>
        <v>2.025937155829164E-4</v>
      </c>
    </row>
    <row r="94" spans="1:16" x14ac:dyDescent="0.2">
      <c r="A94" s="1">
        <v>60082</v>
      </c>
      <c r="B94" s="1" t="s">
        <v>332</v>
      </c>
      <c r="C94" s="16">
        <v>139833.68999999997</v>
      </c>
      <c r="D94" s="16">
        <v>244461.58999999994</v>
      </c>
      <c r="E94" s="16">
        <v>355735.2799999991</v>
      </c>
      <c r="F94" s="16">
        <v>203878.39999999997</v>
      </c>
      <c r="G94" s="16">
        <v>282790.21999999997</v>
      </c>
      <c r="H94" s="16">
        <v>385565.73999999982</v>
      </c>
      <c r="I94" s="16">
        <v>369877.05999999994</v>
      </c>
      <c r="J94" s="16">
        <v>115591.12000000001</v>
      </c>
      <c r="K94" s="16">
        <v>441673.25999999931</v>
      </c>
      <c r="L94" s="16">
        <v>213050.04999999996</v>
      </c>
      <c r="M94" s="16">
        <v>289501.86</v>
      </c>
      <c r="N94" s="16"/>
      <c r="O94" s="17">
        <f>SUM(Tabela2151719[[#This Row],[JAN]:[DEZ]])</f>
        <v>3041958.2699999977</v>
      </c>
      <c r="P94" s="28">
        <f>Tabela2151719[[#This Row],[2019]]/Tabela2151719[[#Totals],[2019]]</f>
        <v>0.92119824897979075</v>
      </c>
    </row>
    <row r="95" spans="1:16" x14ac:dyDescent="0.2">
      <c r="A95" s="1">
        <v>60120</v>
      </c>
      <c r="B95" s="1" t="s">
        <v>333</v>
      </c>
      <c r="C95" s="16">
        <v>14066.099999999999</v>
      </c>
      <c r="D95" s="16">
        <v>12657.650000000001</v>
      </c>
      <c r="E95" s="16">
        <v>18006.329999999998</v>
      </c>
      <c r="F95" s="16">
        <v>5667.2</v>
      </c>
      <c r="G95" s="16">
        <v>20109.870000000003</v>
      </c>
      <c r="H95" s="16">
        <v>19526.13</v>
      </c>
      <c r="I95" s="16">
        <v>39413.01</v>
      </c>
      <c r="J95" s="16">
        <v>20525.29</v>
      </c>
      <c r="K95" s="16">
        <v>11106.420000000002</v>
      </c>
      <c r="L95" s="16">
        <v>8446.7100000000009</v>
      </c>
      <c r="M95" s="16">
        <v>20066.280000000002</v>
      </c>
      <c r="N95" s="16"/>
      <c r="O95" s="17">
        <f>SUM(Tabela2151719[[#This Row],[JAN]:[DEZ]])</f>
        <v>189590.99000000002</v>
      </c>
      <c r="P95" s="28">
        <f>Tabela2151719[[#This Row],[2019]]/Tabela2151719[[#Totals],[2019]]</f>
        <v>5.7413965777494101E-2</v>
      </c>
    </row>
    <row r="96" spans="1:16" x14ac:dyDescent="0.2">
      <c r="B96" s="118" t="s">
        <v>126</v>
      </c>
      <c r="C96" s="16">
        <v>123.35</v>
      </c>
      <c r="D96" s="16">
        <v>0</v>
      </c>
      <c r="E96" s="16">
        <v>4533.09</v>
      </c>
      <c r="F96" s="16">
        <v>0</v>
      </c>
      <c r="G96" s="16">
        <v>0</v>
      </c>
      <c r="H96" s="16">
        <v>599.39</v>
      </c>
      <c r="I96" s="16">
        <v>6491.2000000000007</v>
      </c>
      <c r="J96" s="16">
        <v>0</v>
      </c>
      <c r="K96" s="16">
        <v>0</v>
      </c>
      <c r="L96" s="16">
        <v>0</v>
      </c>
      <c r="M96" s="16">
        <v>0</v>
      </c>
      <c r="N96" s="16"/>
      <c r="O96" s="129">
        <f>SUM(Tabela2151719[[#This Row],[JAN]:[DEZ]])</f>
        <v>11747.030000000002</v>
      </c>
      <c r="P96" s="126">
        <f>Tabela2151719[[#This Row],[2019]]/Tabela2151719[[#Totals],[2019]]</f>
        <v>3.5573609189297264E-3</v>
      </c>
    </row>
    <row r="97" spans="1:16" ht="12" thickBot="1" x14ac:dyDescent="0.25">
      <c r="B97" s="118"/>
      <c r="C97" s="130">
        <f>SUBTOTAL(109,Tabela2151719[JAN])</f>
        <v>154271.62999999998</v>
      </c>
      <c r="D97" s="130">
        <f>SUBTOTAL(109,Tabela2151719[FEV])</f>
        <v>258612.03999999992</v>
      </c>
      <c r="E97" s="130">
        <f>SUBTOTAL(109,Tabela2151719[MAR])</f>
        <v>387543.20999999915</v>
      </c>
      <c r="F97" s="130">
        <f>SUBTOTAL(109,Tabela2151719[ABR])</f>
        <v>213738.86</v>
      </c>
      <c r="G97" s="130">
        <f>SUBTOTAL(109,Tabela2151719[MAI])</f>
        <v>303118.20999999996</v>
      </c>
      <c r="H97" s="130">
        <f>SUBTOTAL(109,Tabela2151719[JUN])</f>
        <v>443354.55999999982</v>
      </c>
      <c r="I97" s="130">
        <f>SUBTOTAL(109,Tabela2151719[JUL])</f>
        <v>418868.77999999997</v>
      </c>
      <c r="J97" s="130">
        <f>SUBTOTAL(109,Tabela2151719[AGO])</f>
        <v>136726.41</v>
      </c>
      <c r="K97" s="130">
        <f>SUBTOTAL(109,Tabela2151719[SET])</f>
        <v>454456.3699999993</v>
      </c>
      <c r="L97" s="130">
        <f>SUBTOTAL(109,Tabela2151719[OUT])</f>
        <v>221917.26999999996</v>
      </c>
      <c r="M97" s="130">
        <f>SUBTOTAL(109,Tabela2151719[NOV])</f>
        <v>309568.14</v>
      </c>
      <c r="N97" s="130">
        <f>SUBTOTAL(109,Tabela2151719[DEZ])</f>
        <v>0</v>
      </c>
      <c r="O97" s="130">
        <f>SUBTOTAL(109,Tabela2151719[2019])</f>
        <v>3302175.4799999977</v>
      </c>
      <c r="P97" s="118"/>
    </row>
    <row r="98" spans="1:16" ht="17.25" thickTop="1" thickBot="1" x14ac:dyDescent="0.3">
      <c r="B98" s="191" t="s">
        <v>307</v>
      </c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</row>
    <row r="99" spans="1:16" ht="12" thickTop="1" x14ac:dyDescent="0.2">
      <c r="A99" s="1" t="s">
        <v>301</v>
      </c>
      <c r="B99" s="1" t="s">
        <v>302</v>
      </c>
      <c r="C99" s="1" t="s">
        <v>1</v>
      </c>
      <c r="D99" s="1" t="s">
        <v>2</v>
      </c>
      <c r="E99" s="1" t="s">
        <v>3</v>
      </c>
      <c r="F99" s="1" t="s">
        <v>4</v>
      </c>
      <c r="G99" s="1" t="s">
        <v>5</v>
      </c>
      <c r="H99" s="1" t="s">
        <v>6</v>
      </c>
      <c r="I99" s="1" t="s">
        <v>7</v>
      </c>
      <c r="J99" s="1" t="s">
        <v>8</v>
      </c>
      <c r="K99" s="1" t="s">
        <v>9</v>
      </c>
      <c r="L99" s="1" t="s">
        <v>10</v>
      </c>
      <c r="M99" s="1" t="s">
        <v>11</v>
      </c>
      <c r="N99" s="1" t="s">
        <v>12</v>
      </c>
      <c r="O99" s="2" t="s">
        <v>241</v>
      </c>
      <c r="P99" s="1" t="s">
        <v>287</v>
      </c>
    </row>
    <row r="100" spans="1:16" x14ac:dyDescent="0.2">
      <c r="A100" s="1">
        <v>40008</v>
      </c>
      <c r="B100" s="1" t="s">
        <v>330</v>
      </c>
      <c r="C100" s="16">
        <v>0</v>
      </c>
      <c r="D100" s="16">
        <v>148.13</v>
      </c>
      <c r="E100" s="16">
        <v>3024.01</v>
      </c>
      <c r="F100" s="16">
        <v>1057.8499999999999</v>
      </c>
      <c r="G100" s="16">
        <v>29.21</v>
      </c>
      <c r="H100" s="16">
        <v>6070.55</v>
      </c>
      <c r="I100" s="16">
        <v>293.06</v>
      </c>
      <c r="J100" s="16">
        <v>140</v>
      </c>
      <c r="K100" s="16">
        <v>191.78</v>
      </c>
      <c r="L100" s="16">
        <v>0</v>
      </c>
      <c r="M100" s="16">
        <v>0</v>
      </c>
      <c r="N100" s="16"/>
      <c r="O100" s="17">
        <f>SUM(Tabela215171920[[#This Row],[JAN]:[DEZ]])</f>
        <v>10954.59</v>
      </c>
      <c r="P100" s="28">
        <f>Tabela215171920[[#This Row],[2019]]/Tabela215171920[[#Totals],[2019]]</f>
        <v>1.8923810061959954E-2</v>
      </c>
    </row>
    <row r="101" spans="1:16" x14ac:dyDescent="0.2">
      <c r="A101" s="1">
        <v>60072</v>
      </c>
      <c r="B101" s="1" t="s">
        <v>331</v>
      </c>
      <c r="C101" s="16">
        <v>122.73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175</v>
      </c>
      <c r="M101" s="16">
        <v>0</v>
      </c>
      <c r="N101" s="16"/>
      <c r="O101" s="17">
        <f>SUM(Tabela215171920[[#This Row],[JAN]:[DEZ]])</f>
        <v>297.73</v>
      </c>
      <c r="P101" s="28">
        <f>Tabela215171920[[#This Row],[2019]]/Tabela215171920[[#Totals],[2019]]</f>
        <v>5.1432193899975597E-4</v>
      </c>
    </row>
    <row r="102" spans="1:16" x14ac:dyDescent="0.2">
      <c r="A102" s="1">
        <v>60082</v>
      </c>
      <c r="B102" s="1" t="s">
        <v>332</v>
      </c>
      <c r="C102" s="16">
        <v>23684.740000000009</v>
      </c>
      <c r="D102" s="16">
        <v>34331.980000000003</v>
      </c>
      <c r="E102" s="16">
        <v>52567.480000000047</v>
      </c>
      <c r="F102" s="16">
        <v>29906.960000000014</v>
      </c>
      <c r="G102" s="16">
        <v>46013.169999999969</v>
      </c>
      <c r="H102" s="16">
        <v>69923.420000000056</v>
      </c>
      <c r="I102" s="16">
        <v>61359.349999999991</v>
      </c>
      <c r="J102" s="16">
        <v>22328.73</v>
      </c>
      <c r="K102" s="16">
        <v>79640.480000000141</v>
      </c>
      <c r="L102" s="16">
        <v>33791.850000000006</v>
      </c>
      <c r="M102" s="16">
        <v>49474.469999999987</v>
      </c>
      <c r="N102" s="16"/>
      <c r="O102" s="17">
        <f>SUM(Tabela215171920[[#This Row],[JAN]:[DEZ]])</f>
        <v>503022.63000000024</v>
      </c>
      <c r="P102" s="28">
        <f>Tabela215171920[[#This Row],[2019]]/Tabela215171920[[#Totals],[2019]]</f>
        <v>0.86896038162884803</v>
      </c>
    </row>
    <row r="103" spans="1:16" x14ac:dyDescent="0.2">
      <c r="A103" s="1">
        <v>60120</v>
      </c>
      <c r="B103" s="1" t="s">
        <v>333</v>
      </c>
      <c r="C103" s="16">
        <v>5390.39</v>
      </c>
      <c r="D103" s="16">
        <v>2940.14</v>
      </c>
      <c r="E103" s="16">
        <v>5361.25</v>
      </c>
      <c r="F103" s="16">
        <v>2213.0700000000002</v>
      </c>
      <c r="G103" s="16">
        <v>5998.21</v>
      </c>
      <c r="H103" s="16">
        <v>7724.7199999999984</v>
      </c>
      <c r="I103" s="16">
        <v>8324.89</v>
      </c>
      <c r="J103" s="16">
        <v>6265.9799999999987</v>
      </c>
      <c r="K103" s="16">
        <v>2904.04</v>
      </c>
      <c r="L103" s="16">
        <v>2898.19</v>
      </c>
      <c r="M103" s="16">
        <v>8472.5499999999993</v>
      </c>
      <c r="N103" s="16"/>
      <c r="O103" s="17">
        <f>SUM(Tabela215171920[[#This Row],[JAN]:[DEZ]])</f>
        <v>58493.429999999993</v>
      </c>
      <c r="P103" s="28">
        <f>Tabela215171920[[#This Row],[2019]]/Tabela215171920[[#Totals],[2019]]</f>
        <v>0.1010460965853172</v>
      </c>
    </row>
    <row r="104" spans="1:16" x14ac:dyDescent="0.2">
      <c r="B104" s="118" t="s">
        <v>126</v>
      </c>
      <c r="C104" s="16">
        <v>5.59</v>
      </c>
      <c r="D104" s="16">
        <v>0</v>
      </c>
      <c r="E104" s="16">
        <v>1288.3699999999999</v>
      </c>
      <c r="F104" s="16">
        <v>0</v>
      </c>
      <c r="G104" s="16">
        <v>0</v>
      </c>
      <c r="H104" s="16">
        <v>223.1</v>
      </c>
      <c r="I104" s="16">
        <v>4593.2300000000005</v>
      </c>
      <c r="J104" s="16">
        <v>0</v>
      </c>
      <c r="K104" s="16">
        <v>0</v>
      </c>
      <c r="L104" s="16">
        <v>0</v>
      </c>
      <c r="M104" s="16">
        <v>0</v>
      </c>
      <c r="N104" s="16"/>
      <c r="O104" s="129">
        <f>SUM(Tabela215171920[[#This Row],[JAN]:[DEZ]])</f>
        <v>6110.29</v>
      </c>
      <c r="P104" s="126">
        <f>Tabela215171920[[#This Row],[2019]]/Tabela215171920[[#Totals],[2019]]</f>
        <v>1.055538978487495E-2</v>
      </c>
    </row>
    <row r="105" spans="1:16" ht="12" thickBot="1" x14ac:dyDescent="0.25">
      <c r="B105" s="118"/>
      <c r="C105" s="130">
        <f>SUBTOTAL(109,Tabela215171920[JAN])</f>
        <v>29203.450000000008</v>
      </c>
      <c r="D105" s="130">
        <f>SUBTOTAL(109,Tabela215171920[FEV])</f>
        <v>37420.25</v>
      </c>
      <c r="E105" s="130">
        <f>SUBTOTAL(109,Tabela215171920[MAR])</f>
        <v>62241.110000000052</v>
      </c>
      <c r="F105" s="130">
        <f>SUBTOTAL(109,Tabela215171920[ABR])</f>
        <v>33177.880000000012</v>
      </c>
      <c r="G105" s="130">
        <f>SUBTOTAL(109,Tabela215171920[MAI])</f>
        <v>52040.589999999967</v>
      </c>
      <c r="H105" s="130">
        <f>SUBTOTAL(109,Tabela215171920[JUN])</f>
        <v>83941.790000000066</v>
      </c>
      <c r="I105" s="130">
        <f>SUBTOTAL(109,Tabela215171920[JUL])</f>
        <v>74570.529999999984</v>
      </c>
      <c r="J105" s="130">
        <f>SUBTOTAL(109,Tabela215171920[AGO])</f>
        <v>28734.71</v>
      </c>
      <c r="K105" s="130">
        <f>SUBTOTAL(109,Tabela215171920[SET])</f>
        <v>82736.300000000134</v>
      </c>
      <c r="L105" s="130">
        <f>SUBTOTAL(109,Tabela215171920[OUT])</f>
        <v>36865.040000000008</v>
      </c>
      <c r="M105" s="130">
        <f>SUBTOTAL(109,Tabela215171920[NOV])</f>
        <v>57947.01999999999</v>
      </c>
      <c r="N105" s="130">
        <f>SUBTOTAL(109,Tabela215171920[DEZ])</f>
        <v>0</v>
      </c>
      <c r="O105" s="130">
        <f>SUBTOTAL(109,Tabela215171920[2019])</f>
        <v>578878.67000000027</v>
      </c>
      <c r="P105" s="118"/>
    </row>
    <row r="106" spans="1:16" ht="17.25" thickTop="1" thickBot="1" x14ac:dyDescent="0.3">
      <c r="B106" s="192" t="s">
        <v>308</v>
      </c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</row>
    <row r="107" spans="1:16" ht="12" thickTop="1" x14ac:dyDescent="0.2">
      <c r="A107" s="1" t="s">
        <v>301</v>
      </c>
      <c r="B107" s="1" t="s">
        <v>302</v>
      </c>
      <c r="C107" s="1" t="s">
        <v>1</v>
      </c>
      <c r="D107" s="1" t="s">
        <v>2</v>
      </c>
      <c r="E107" s="1" t="s">
        <v>3</v>
      </c>
      <c r="F107" s="1" t="s">
        <v>4</v>
      </c>
      <c r="G107" s="1" t="s">
        <v>5</v>
      </c>
      <c r="H107" s="1" t="s">
        <v>6</v>
      </c>
      <c r="I107" s="1" t="s">
        <v>7</v>
      </c>
      <c r="J107" s="1" t="s">
        <v>8</v>
      </c>
      <c r="K107" s="1" t="s">
        <v>9</v>
      </c>
      <c r="L107" s="1" t="s">
        <v>10</v>
      </c>
      <c r="M107" s="1" t="s">
        <v>11</v>
      </c>
      <c r="N107" s="1" t="s">
        <v>12</v>
      </c>
      <c r="O107" s="2" t="s">
        <v>241</v>
      </c>
      <c r="P107" s="1" t="s">
        <v>287</v>
      </c>
    </row>
    <row r="108" spans="1:16" x14ac:dyDescent="0.2">
      <c r="A108" s="1">
        <v>40008</v>
      </c>
      <c r="B108" s="1" t="s">
        <v>330</v>
      </c>
      <c r="C108" s="16">
        <f>IF(SUM(C$97,C$105)&gt;0,SUM(C92,C100),"")</f>
        <v>0</v>
      </c>
      <c r="D108" s="16">
        <f t="shared" ref="D108:N108" si="2">IF(SUM(D$97,D$105)&gt;0,SUM(D92,D100),"")</f>
        <v>1640.9300000000003</v>
      </c>
      <c r="E108" s="16">
        <f t="shared" si="2"/>
        <v>12292.520000000002</v>
      </c>
      <c r="F108" s="16">
        <f t="shared" si="2"/>
        <v>5251.1100000000006</v>
      </c>
      <c r="G108" s="16">
        <f t="shared" si="2"/>
        <v>247.33</v>
      </c>
      <c r="H108" s="16">
        <f t="shared" si="2"/>
        <v>43733.850000000006</v>
      </c>
      <c r="I108" s="16">
        <f t="shared" si="2"/>
        <v>3380.57</v>
      </c>
      <c r="J108" s="16">
        <f t="shared" si="2"/>
        <v>750</v>
      </c>
      <c r="K108" s="16">
        <f t="shared" si="2"/>
        <v>1868.47</v>
      </c>
      <c r="L108" s="16">
        <f t="shared" si="2"/>
        <v>0</v>
      </c>
      <c r="M108" s="16">
        <f t="shared" si="2"/>
        <v>0</v>
      </c>
      <c r="N108" s="16" t="str">
        <f t="shared" si="2"/>
        <v/>
      </c>
      <c r="O108" s="17">
        <f>SUM(Tabela21517192021[[#This Row],[JAN]:[DEZ]])</f>
        <v>69164.780000000013</v>
      </c>
      <c r="P108" s="28">
        <f>Tabela21517192021[[#This Row],[2019]]/Tabela21517192021[[#Totals],[2019]]</f>
        <v>1.7821132436402633E-2</v>
      </c>
    </row>
    <row r="109" spans="1:16" x14ac:dyDescent="0.2">
      <c r="A109" s="1">
        <v>60072</v>
      </c>
      <c r="B109" s="1" t="s">
        <v>331</v>
      </c>
      <c r="C109" s="16">
        <f t="shared" ref="C109:N112" si="3">IF(SUM(C$97,C$105)&gt;0,SUM(C93,C101),"")</f>
        <v>371.22</v>
      </c>
      <c r="D109" s="16">
        <f t="shared" si="3"/>
        <v>0</v>
      </c>
      <c r="E109" s="16">
        <f t="shared" si="3"/>
        <v>0</v>
      </c>
      <c r="F109" s="16">
        <f t="shared" si="3"/>
        <v>0</v>
      </c>
      <c r="G109" s="16">
        <f t="shared" si="3"/>
        <v>0</v>
      </c>
      <c r="H109" s="16">
        <f t="shared" si="3"/>
        <v>0</v>
      </c>
      <c r="I109" s="16">
        <f t="shared" si="3"/>
        <v>0</v>
      </c>
      <c r="J109" s="16">
        <f t="shared" si="3"/>
        <v>0</v>
      </c>
      <c r="K109" s="16">
        <f t="shared" si="3"/>
        <v>0</v>
      </c>
      <c r="L109" s="16">
        <f t="shared" si="3"/>
        <v>595.51</v>
      </c>
      <c r="M109" s="16">
        <f t="shared" si="3"/>
        <v>0</v>
      </c>
      <c r="N109" s="16" t="str">
        <f t="shared" si="3"/>
        <v/>
      </c>
      <c r="O109" s="17">
        <f>SUM(Tabela21517192021[[#This Row],[JAN]:[DEZ]])</f>
        <v>966.73</v>
      </c>
      <c r="P109" s="28">
        <f>Tabela21517192021[[#This Row],[2019]]/Tabela21517192021[[#Totals],[2019]]</f>
        <v>2.4908954181945657E-4</v>
      </c>
    </row>
    <row r="110" spans="1:16" x14ac:dyDescent="0.2">
      <c r="A110" s="1">
        <v>60082</v>
      </c>
      <c r="B110" s="1" t="s">
        <v>332</v>
      </c>
      <c r="C110" s="16">
        <f t="shared" si="3"/>
        <v>163518.43</v>
      </c>
      <c r="D110" s="16">
        <f t="shared" si="3"/>
        <v>278793.56999999995</v>
      </c>
      <c r="E110" s="16">
        <f t="shared" si="3"/>
        <v>408302.75999999914</v>
      </c>
      <c r="F110" s="16">
        <f t="shared" si="3"/>
        <v>233785.36</v>
      </c>
      <c r="G110" s="16">
        <f t="shared" si="3"/>
        <v>328803.38999999996</v>
      </c>
      <c r="H110" s="16">
        <f t="shared" si="3"/>
        <v>455489.15999999986</v>
      </c>
      <c r="I110" s="16">
        <f t="shared" si="3"/>
        <v>431236.40999999992</v>
      </c>
      <c r="J110" s="16">
        <f t="shared" si="3"/>
        <v>137919.85</v>
      </c>
      <c r="K110" s="16">
        <f t="shared" si="3"/>
        <v>521313.73999999947</v>
      </c>
      <c r="L110" s="16">
        <f t="shared" si="3"/>
        <v>246841.89999999997</v>
      </c>
      <c r="M110" s="16">
        <f t="shared" si="3"/>
        <v>338976.32999999996</v>
      </c>
      <c r="N110" s="16" t="str">
        <f t="shared" si="3"/>
        <v/>
      </c>
      <c r="O110" s="17">
        <f>SUM(Tabela21517192021[[#This Row],[JAN]:[DEZ]])</f>
        <v>3544980.8999999985</v>
      </c>
      <c r="P110" s="28">
        <f>Tabela21517192021[[#This Row],[2019]]/Tabela21517192021[[#Totals],[2019]]</f>
        <v>0.91340670936013613</v>
      </c>
    </row>
    <row r="111" spans="1:16" x14ac:dyDescent="0.2">
      <c r="A111" s="1">
        <v>60120</v>
      </c>
      <c r="B111" s="1" t="s">
        <v>333</v>
      </c>
      <c r="C111" s="16">
        <f t="shared" si="3"/>
        <v>19456.489999999998</v>
      </c>
      <c r="D111" s="16">
        <f t="shared" si="3"/>
        <v>15597.79</v>
      </c>
      <c r="E111" s="16">
        <f t="shared" si="3"/>
        <v>23367.579999999998</v>
      </c>
      <c r="F111" s="16">
        <f t="shared" si="3"/>
        <v>7880.27</v>
      </c>
      <c r="G111" s="16">
        <f t="shared" si="3"/>
        <v>26108.080000000002</v>
      </c>
      <c r="H111" s="16">
        <f t="shared" si="3"/>
        <v>27250.85</v>
      </c>
      <c r="I111" s="16">
        <f t="shared" si="3"/>
        <v>47737.9</v>
      </c>
      <c r="J111" s="16">
        <f t="shared" si="3"/>
        <v>26791.27</v>
      </c>
      <c r="K111" s="16">
        <f t="shared" si="3"/>
        <v>14010.460000000003</v>
      </c>
      <c r="L111" s="16">
        <f t="shared" si="3"/>
        <v>11344.900000000001</v>
      </c>
      <c r="M111" s="16">
        <f t="shared" si="3"/>
        <v>28538.83</v>
      </c>
      <c r="N111" s="16" t="str">
        <f t="shared" si="3"/>
        <v/>
      </c>
      <c r="O111" s="17">
        <f>SUM(Tabela21517192021[[#This Row],[JAN]:[DEZ]])</f>
        <v>248084.41999999998</v>
      </c>
      <c r="P111" s="28">
        <f>Tabela21517192021[[#This Row],[2019]]/Tabela21517192021[[#Totals],[2019]]</f>
        <v>6.3921916678230342E-2</v>
      </c>
    </row>
    <row r="112" spans="1:16" x14ac:dyDescent="0.2">
      <c r="B112" s="118" t="s">
        <v>126</v>
      </c>
      <c r="C112" s="16">
        <f t="shared" si="3"/>
        <v>128.94</v>
      </c>
      <c r="D112" s="16">
        <f t="shared" si="3"/>
        <v>0</v>
      </c>
      <c r="E112" s="16">
        <f t="shared" si="3"/>
        <v>5821.46</v>
      </c>
      <c r="F112" s="16">
        <f t="shared" si="3"/>
        <v>0</v>
      </c>
      <c r="G112" s="16">
        <f t="shared" si="3"/>
        <v>0</v>
      </c>
      <c r="H112" s="16">
        <f t="shared" si="3"/>
        <v>822.49</v>
      </c>
      <c r="I112" s="16">
        <f t="shared" si="3"/>
        <v>11084.43</v>
      </c>
      <c r="J112" s="16">
        <f t="shared" si="3"/>
        <v>0</v>
      </c>
      <c r="K112" s="16">
        <f t="shared" si="3"/>
        <v>0</v>
      </c>
      <c r="L112" s="16">
        <f t="shared" si="3"/>
        <v>0</v>
      </c>
      <c r="M112" s="16">
        <f t="shared" si="3"/>
        <v>0</v>
      </c>
      <c r="N112" s="16" t="str">
        <f t="shared" si="3"/>
        <v/>
      </c>
      <c r="O112" s="129">
        <f>SUM(Tabela21517192021[[#This Row],[JAN]:[DEZ]])</f>
        <v>17857.32</v>
      </c>
      <c r="P112" s="126">
        <f>Tabela21517192021[[#This Row],[2019]]/Tabela21517192021[[#Totals],[2019]]</f>
        <v>4.6011519834115193E-3</v>
      </c>
    </row>
    <row r="113" spans="1:16" ht="12" thickBot="1" x14ac:dyDescent="0.25">
      <c r="C113" s="131">
        <f>SUBTOTAL(109,Tabela21517192021[JAN])</f>
        <v>183475.08</v>
      </c>
      <c r="D113" s="131">
        <f>SUBTOTAL(109,Tabela21517192021[FEV])</f>
        <v>296032.28999999992</v>
      </c>
      <c r="E113" s="131">
        <f>SUBTOTAL(109,Tabela21517192021[MAR])</f>
        <v>449784.31999999919</v>
      </c>
      <c r="F113" s="131">
        <f>SUBTOTAL(109,Tabela21517192021[ABR])</f>
        <v>246916.73999999996</v>
      </c>
      <c r="G113" s="131">
        <f>SUBTOTAL(109,Tabela21517192021[MAI])</f>
        <v>355158.8</v>
      </c>
      <c r="H113" s="131">
        <f>SUBTOTAL(109,Tabela21517192021[JUN])</f>
        <v>527296.34999999986</v>
      </c>
      <c r="I113" s="131">
        <f>SUBTOTAL(109,Tabela21517192021[JUL])</f>
        <v>493439.30999999994</v>
      </c>
      <c r="J113" s="131">
        <f>SUBTOTAL(109,Tabela21517192021[AGO])</f>
        <v>165461.12</v>
      </c>
      <c r="K113" s="131">
        <f>SUBTOTAL(109,Tabela21517192021[SET])</f>
        <v>537192.66999999946</v>
      </c>
      <c r="L113" s="131">
        <f>SUBTOTAL(109,Tabela21517192021[OUT])</f>
        <v>258782.30999999997</v>
      </c>
      <c r="M113" s="131">
        <f>SUBTOTAL(109,Tabela21517192021[NOV])</f>
        <v>367515.16</v>
      </c>
      <c r="N113" s="131">
        <f>SUBTOTAL(109,Tabela21517192021[DEZ])</f>
        <v>0</v>
      </c>
      <c r="O113" s="131">
        <f>SUBTOTAL(109,Tabela21517192021[2019])</f>
        <v>3881054.149999998</v>
      </c>
    </row>
    <row r="114" spans="1:16" ht="17.25" thickTop="1" thickBot="1" x14ac:dyDescent="0.3">
      <c r="B114" s="192" t="s">
        <v>309</v>
      </c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</row>
    <row r="115" spans="1:16" ht="12" thickTop="1" x14ac:dyDescent="0.2">
      <c r="A115" s="1" t="s">
        <v>301</v>
      </c>
      <c r="B115" s="1" t="s">
        <v>302</v>
      </c>
      <c r="C115" s="1" t="s">
        <v>1</v>
      </c>
      <c r="D115" s="1" t="s">
        <v>2</v>
      </c>
      <c r="E115" s="1" t="s">
        <v>3</v>
      </c>
      <c r="F115" s="1" t="s">
        <v>4</v>
      </c>
      <c r="G115" s="1" t="s">
        <v>5</v>
      </c>
      <c r="H115" s="1" t="s">
        <v>6</v>
      </c>
      <c r="I115" s="1" t="s">
        <v>7</v>
      </c>
      <c r="J115" s="1" t="s">
        <v>8</v>
      </c>
      <c r="K115" s="1" t="s">
        <v>9</v>
      </c>
      <c r="L115" s="1" t="s">
        <v>10</v>
      </c>
      <c r="M115" s="1" t="s">
        <v>11</v>
      </c>
      <c r="N115" s="1" t="s">
        <v>12</v>
      </c>
      <c r="O115" s="2" t="s">
        <v>241</v>
      </c>
    </row>
    <row r="116" spans="1:16" x14ac:dyDescent="0.2">
      <c r="A116" s="1">
        <v>40008</v>
      </c>
      <c r="B116" s="1" t="s">
        <v>330</v>
      </c>
      <c r="C116" s="16" t="s">
        <v>278</v>
      </c>
      <c r="D116" s="16">
        <v>820.46500000000003</v>
      </c>
      <c r="E116" s="16">
        <v>1229.252</v>
      </c>
      <c r="F116" s="16">
        <v>1312.7774999999999</v>
      </c>
      <c r="G116" s="16">
        <v>247.33</v>
      </c>
      <c r="H116" s="16">
        <v>8746.7699999999986</v>
      </c>
      <c r="I116" s="16">
        <v>1690.2849999999999</v>
      </c>
      <c r="J116" s="16">
        <v>750</v>
      </c>
      <c r="K116" s="16">
        <v>1868.47</v>
      </c>
      <c r="L116" s="16" t="s">
        <v>278</v>
      </c>
      <c r="M116" s="16" t="s">
        <v>278</v>
      </c>
      <c r="N116" s="16" t="s">
        <v>278</v>
      </c>
      <c r="O116" s="17">
        <v>2660.1838461538459</v>
      </c>
    </row>
    <row r="117" spans="1:16" x14ac:dyDescent="0.2">
      <c r="A117" s="1">
        <v>60072</v>
      </c>
      <c r="B117" s="1" t="s">
        <v>331</v>
      </c>
      <c r="C117" s="16">
        <v>371.22</v>
      </c>
      <c r="D117" s="16" t="s">
        <v>278</v>
      </c>
      <c r="E117" s="16" t="s">
        <v>278</v>
      </c>
      <c r="F117" s="16" t="s">
        <v>278</v>
      </c>
      <c r="G117" s="16" t="s">
        <v>278</v>
      </c>
      <c r="H117" s="16" t="s">
        <v>278</v>
      </c>
      <c r="I117" s="16" t="s">
        <v>278</v>
      </c>
      <c r="J117" s="16" t="s">
        <v>278</v>
      </c>
      <c r="K117" s="16" t="s">
        <v>278</v>
      </c>
      <c r="L117" s="16">
        <v>595.51</v>
      </c>
      <c r="M117" s="16" t="s">
        <v>278</v>
      </c>
      <c r="N117" s="16" t="s">
        <v>278</v>
      </c>
      <c r="O117" s="17">
        <v>483.36500000000001</v>
      </c>
    </row>
    <row r="118" spans="1:16" x14ac:dyDescent="0.2">
      <c r="A118" s="1">
        <v>60082</v>
      </c>
      <c r="B118" s="1" t="s">
        <v>332</v>
      </c>
      <c r="C118" s="16">
        <v>2335.977571428572</v>
      </c>
      <c r="D118" s="16">
        <v>2230.3485599999999</v>
      </c>
      <c r="E118" s="16">
        <v>1855.9216363636372</v>
      </c>
      <c r="F118" s="16">
        <v>4174.738571428572</v>
      </c>
      <c r="G118" s="16">
        <v>1767.7601612903218</v>
      </c>
      <c r="H118" s="16">
        <v>2300.4503030303049</v>
      </c>
      <c r="I118" s="16">
        <v>2234.3855440414527</v>
      </c>
      <c r="J118" s="16">
        <v>2507.6336363636365</v>
      </c>
      <c r="K118" s="16">
        <v>1895.6863272727296</v>
      </c>
      <c r="L118" s="16">
        <v>1763.1564285714273</v>
      </c>
      <c r="M118" s="16">
        <v>1948.1398275862066</v>
      </c>
      <c r="N118" s="16" t="s">
        <v>278</v>
      </c>
      <c r="O118" s="17">
        <v>2095.1423758865244</v>
      </c>
    </row>
    <row r="119" spans="1:16" x14ac:dyDescent="0.2">
      <c r="A119" s="1">
        <v>60120</v>
      </c>
      <c r="B119" s="1" t="s">
        <v>333</v>
      </c>
      <c r="C119" s="16">
        <v>1496.6530769230772</v>
      </c>
      <c r="D119" s="16">
        <v>1949.7237500000001</v>
      </c>
      <c r="E119" s="16">
        <v>2124.3254545454542</v>
      </c>
      <c r="F119" s="16">
        <v>2626.7566666666667</v>
      </c>
      <c r="G119" s="16">
        <v>1740.5386666666668</v>
      </c>
      <c r="H119" s="16">
        <v>1434.2552631578949</v>
      </c>
      <c r="I119" s="16">
        <v>3409.8499999999995</v>
      </c>
      <c r="J119" s="16">
        <v>1913.6621428571432</v>
      </c>
      <c r="K119" s="16">
        <v>2001.4942857142858</v>
      </c>
      <c r="L119" s="16">
        <v>1890.8166666666668</v>
      </c>
      <c r="M119" s="16">
        <v>1502.0436842105262</v>
      </c>
      <c r="N119" s="16" t="s">
        <v>278</v>
      </c>
      <c r="O119" s="17">
        <v>1923.1350387596897</v>
      </c>
    </row>
    <row r="120" spans="1:16" x14ac:dyDescent="0.2">
      <c r="B120" s="118" t="s">
        <v>126</v>
      </c>
      <c r="C120" s="16">
        <v>128.94</v>
      </c>
      <c r="D120" s="16" t="s">
        <v>278</v>
      </c>
      <c r="E120" s="16">
        <v>2910.73</v>
      </c>
      <c r="F120" s="16" t="s">
        <v>278</v>
      </c>
      <c r="G120" s="16" t="s">
        <v>278</v>
      </c>
      <c r="H120" s="16">
        <v>822.49</v>
      </c>
      <c r="I120" s="16">
        <v>5542.2150000000001</v>
      </c>
      <c r="J120" s="16" t="s">
        <v>278</v>
      </c>
      <c r="K120" s="16" t="s">
        <v>278</v>
      </c>
      <c r="L120" s="16" t="s">
        <v>278</v>
      </c>
      <c r="M120" s="16" t="s">
        <v>278</v>
      </c>
      <c r="N120" s="16" t="s">
        <v>278</v>
      </c>
      <c r="O120" s="17">
        <v>2976.22</v>
      </c>
    </row>
    <row r="121" spans="1:16" ht="12" thickBot="1" x14ac:dyDescent="0.25">
      <c r="B121" s="118"/>
      <c r="C121" s="137" t="s">
        <v>325</v>
      </c>
      <c r="D121" s="137" t="s">
        <v>326</v>
      </c>
      <c r="E121" s="137" t="s">
        <v>327</v>
      </c>
      <c r="F121" s="137" t="s">
        <v>328</v>
      </c>
      <c r="G121" s="137" t="s">
        <v>336</v>
      </c>
      <c r="H121" s="137" t="s">
        <v>368</v>
      </c>
      <c r="I121" s="137" t="s">
        <v>375</v>
      </c>
      <c r="J121" s="137" t="s">
        <v>379</v>
      </c>
      <c r="K121" s="137" t="s">
        <v>395</v>
      </c>
      <c r="L121" s="137" t="s">
        <v>398</v>
      </c>
      <c r="M121" s="137" t="s">
        <v>408</v>
      </c>
      <c r="N121" s="137" t="s">
        <v>316</v>
      </c>
      <c r="O121" s="137" t="s">
        <v>409</v>
      </c>
    </row>
    <row r="122" spans="1:16" ht="17.25" thickTop="1" thickBot="1" x14ac:dyDescent="0.3">
      <c r="B122" s="191" t="s">
        <v>310</v>
      </c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</row>
    <row r="123" spans="1:16" ht="12" thickTop="1" x14ac:dyDescent="0.2">
      <c r="A123" s="1" t="s">
        <v>301</v>
      </c>
      <c r="B123" s="1" t="s">
        <v>302</v>
      </c>
      <c r="C123" s="1" t="s">
        <v>1</v>
      </c>
      <c r="D123" s="1" t="s">
        <v>2</v>
      </c>
      <c r="E123" s="1" t="s">
        <v>3</v>
      </c>
      <c r="F123" s="1" t="s">
        <v>4</v>
      </c>
      <c r="G123" s="1" t="s">
        <v>5</v>
      </c>
      <c r="H123" s="1" t="s">
        <v>6</v>
      </c>
      <c r="I123" s="1" t="s">
        <v>7</v>
      </c>
      <c r="J123" s="1" t="s">
        <v>8</v>
      </c>
      <c r="K123" s="1" t="s">
        <v>9</v>
      </c>
      <c r="L123" s="1" t="s">
        <v>10</v>
      </c>
      <c r="M123" s="1" t="s">
        <v>11</v>
      </c>
      <c r="N123" s="1" t="s">
        <v>12</v>
      </c>
      <c r="O123" s="2" t="s">
        <v>241</v>
      </c>
      <c r="P123" s="1" t="s">
        <v>287</v>
      </c>
    </row>
    <row r="124" spans="1:16" x14ac:dyDescent="0.2">
      <c r="A124" s="1">
        <v>40008</v>
      </c>
      <c r="B124" s="1" t="s">
        <v>330</v>
      </c>
      <c r="C124" s="16">
        <v>0</v>
      </c>
      <c r="D124" s="16">
        <v>288.91000000000003</v>
      </c>
      <c r="E124" s="16">
        <v>276.56</v>
      </c>
      <c r="F124" s="16">
        <v>80.210000000000008</v>
      </c>
      <c r="G124" s="16">
        <v>15.34</v>
      </c>
      <c r="H124" s="16">
        <v>3145.4300000000003</v>
      </c>
      <c r="I124" s="16">
        <v>51.16</v>
      </c>
      <c r="J124" s="16">
        <v>0</v>
      </c>
      <c r="K124" s="16">
        <v>818.09</v>
      </c>
      <c r="L124" s="16">
        <v>0</v>
      </c>
      <c r="M124" s="16">
        <v>0</v>
      </c>
      <c r="N124" s="16"/>
      <c r="O124" s="17">
        <f>SUM(Tabela2151719202124[[#This Row],[JAN]:[DEZ]])</f>
        <v>4675.7</v>
      </c>
      <c r="P124" s="28">
        <f>Tabela2151719202124[[#This Row],[2019]]/Tabela2151719202124[[#Totals],[2019]]</f>
        <v>1.2506763005948876E-2</v>
      </c>
    </row>
    <row r="125" spans="1:16" x14ac:dyDescent="0.2">
      <c r="A125" s="1">
        <v>60072</v>
      </c>
      <c r="B125" s="1" t="s">
        <v>331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/>
      <c r="O125" s="17">
        <f>SUM(Tabela2151719202124[[#This Row],[JAN]:[DEZ]])</f>
        <v>0</v>
      </c>
      <c r="P125" s="28">
        <f>Tabela2151719202124[[#This Row],[2019]]/Tabela2151719202124[[#Totals],[2019]]</f>
        <v>0</v>
      </c>
    </row>
    <row r="126" spans="1:16" x14ac:dyDescent="0.2">
      <c r="A126" s="1">
        <v>60082</v>
      </c>
      <c r="B126" s="1" t="s">
        <v>332</v>
      </c>
      <c r="C126" s="16">
        <v>12325.78</v>
      </c>
      <c r="D126" s="16">
        <v>27119.820000000018</v>
      </c>
      <c r="E126" s="16">
        <v>38552.570000000014</v>
      </c>
      <c r="F126" s="16">
        <v>22075.059999999998</v>
      </c>
      <c r="G126" s="16">
        <v>33721.94999999999</v>
      </c>
      <c r="H126" s="16">
        <v>47858.079999999994</v>
      </c>
      <c r="I126" s="16">
        <v>40320.189999999995</v>
      </c>
      <c r="J126" s="16">
        <v>14276.020000000004</v>
      </c>
      <c r="K126" s="16">
        <v>53426.549999999952</v>
      </c>
      <c r="L126" s="16">
        <v>30834.929999999997</v>
      </c>
      <c r="M126" s="16">
        <v>39567.410000000018</v>
      </c>
      <c r="N126" s="16"/>
      <c r="O126" s="17">
        <f>SUM(Tabela2151719202124[[#This Row],[JAN]:[DEZ]])</f>
        <v>360078.36</v>
      </c>
      <c r="P126" s="28">
        <f>Tabela2151719202124[[#This Row],[2019]]/Tabela2151719202124[[#Totals],[2019]]</f>
        <v>0.96315304918851541</v>
      </c>
    </row>
    <row r="127" spans="1:16" x14ac:dyDescent="0.2">
      <c r="A127" s="1">
        <v>60120</v>
      </c>
      <c r="B127" s="1" t="s">
        <v>333</v>
      </c>
      <c r="C127" s="16">
        <v>1288.08</v>
      </c>
      <c r="D127" s="16">
        <v>382.09000000000003</v>
      </c>
      <c r="E127" s="16">
        <v>1077.56</v>
      </c>
      <c r="F127" s="16">
        <v>548.29</v>
      </c>
      <c r="G127" s="16">
        <v>802.67000000000007</v>
      </c>
      <c r="H127" s="16">
        <v>465.87</v>
      </c>
      <c r="I127" s="16">
        <v>1392.9199999999998</v>
      </c>
      <c r="J127" s="16">
        <v>1384.97</v>
      </c>
      <c r="K127" s="16">
        <v>538.95999999999992</v>
      </c>
      <c r="L127" s="16">
        <v>191.82999999999998</v>
      </c>
      <c r="M127" s="16">
        <v>732.73</v>
      </c>
      <c r="N127" s="16"/>
      <c r="O127" s="17">
        <f>SUM(Tabela2151719202124[[#This Row],[JAN]:[DEZ]])</f>
        <v>8805.9700000000012</v>
      </c>
      <c r="P127" s="28">
        <f>Tabela2151719202124[[#This Row],[2019]]/Tabela2151719202124[[#Totals],[2019]]</f>
        <v>2.3554586442136073E-2</v>
      </c>
    </row>
    <row r="128" spans="1:16" x14ac:dyDescent="0.2">
      <c r="B128" s="118" t="s">
        <v>126</v>
      </c>
      <c r="C128" s="16">
        <v>6.3</v>
      </c>
      <c r="D128" s="16">
        <v>0</v>
      </c>
      <c r="E128" s="16">
        <v>52.32</v>
      </c>
      <c r="F128" s="16">
        <v>0</v>
      </c>
      <c r="G128" s="16">
        <v>0</v>
      </c>
      <c r="H128" s="16">
        <v>0</v>
      </c>
      <c r="I128" s="16">
        <v>235.08</v>
      </c>
      <c r="J128" s="16">
        <v>0</v>
      </c>
      <c r="K128" s="16">
        <v>0</v>
      </c>
      <c r="L128" s="16">
        <v>0</v>
      </c>
      <c r="M128" s="16">
        <v>0</v>
      </c>
      <c r="N128" s="16"/>
      <c r="O128" s="129">
        <f>SUM(Tabela2151719202124[[#This Row],[JAN]:[DEZ]])</f>
        <v>293.7</v>
      </c>
      <c r="P128" s="126">
        <f>Tabela2151719202124[[#This Row],[2019]]/Tabela2151719202124[[#Totals],[2019]]</f>
        <v>7.8560136339953055E-4</v>
      </c>
    </row>
    <row r="129" spans="1:16" ht="12" thickBot="1" x14ac:dyDescent="0.25">
      <c r="B129" s="118"/>
      <c r="C129" s="130">
        <f>SUBTOTAL(109,Tabela2151719202124[JAN])</f>
        <v>13620.16</v>
      </c>
      <c r="D129" s="130">
        <f>SUBTOTAL(109,Tabela2151719202124[FEV])</f>
        <v>27790.820000000018</v>
      </c>
      <c r="E129" s="130">
        <f>SUBTOTAL(109,Tabela2151719202124[MAR])</f>
        <v>39959.010000000009</v>
      </c>
      <c r="F129" s="130">
        <f>SUBTOTAL(109,Tabela2151719202124[ABR])</f>
        <v>22703.559999999998</v>
      </c>
      <c r="G129" s="130">
        <f>SUBTOTAL(109,Tabela2151719202124[MAI])</f>
        <v>34539.959999999985</v>
      </c>
      <c r="H129" s="130">
        <f>SUBTOTAL(109,Tabela2151719202124[JUN])</f>
        <v>51469.38</v>
      </c>
      <c r="I129" s="130">
        <f>SUBTOTAL(109,Tabela2151719202124[JUL])</f>
        <v>41999.35</v>
      </c>
      <c r="J129" s="130">
        <f>SUBTOTAL(109,Tabela2151719202124[AGO])</f>
        <v>15660.990000000003</v>
      </c>
      <c r="K129" s="130">
        <f>SUBTOTAL(109,Tabela2151719202124[SET])</f>
        <v>54783.599999999948</v>
      </c>
      <c r="L129" s="130">
        <f>SUBTOTAL(109,Tabela2151719202124[OUT])</f>
        <v>31026.76</v>
      </c>
      <c r="M129" s="130">
        <f>SUBTOTAL(109,Tabela2151719202124[NOV])</f>
        <v>40300.140000000021</v>
      </c>
      <c r="N129" s="130">
        <f>SUBTOTAL(109,Tabela2151719202124[DEZ])</f>
        <v>0</v>
      </c>
      <c r="O129" s="130">
        <f>SUBTOTAL(109,Tabela2151719202124[2019])</f>
        <v>373853.73000000004</v>
      </c>
      <c r="P129" s="118"/>
    </row>
    <row r="130" spans="1:16" ht="17.25" thickTop="1" thickBot="1" x14ac:dyDescent="0.3">
      <c r="B130" s="191" t="s">
        <v>311</v>
      </c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</row>
    <row r="131" spans="1:16" ht="12" thickTop="1" x14ac:dyDescent="0.2">
      <c r="A131" s="1" t="s">
        <v>301</v>
      </c>
      <c r="B131" s="1" t="s">
        <v>302</v>
      </c>
      <c r="C131" s="1" t="s">
        <v>1</v>
      </c>
      <c r="D131" s="1" t="s">
        <v>2</v>
      </c>
      <c r="E131" s="1" t="s">
        <v>3</v>
      </c>
      <c r="F131" s="1" t="s">
        <v>4</v>
      </c>
      <c r="G131" s="1" t="s">
        <v>5</v>
      </c>
      <c r="H131" s="1" t="s">
        <v>6</v>
      </c>
      <c r="I131" s="1" t="s">
        <v>7</v>
      </c>
      <c r="J131" s="1" t="s">
        <v>8</v>
      </c>
      <c r="K131" s="1" t="s">
        <v>9</v>
      </c>
      <c r="L131" s="1" t="s">
        <v>10</v>
      </c>
      <c r="M131" s="1" t="s">
        <v>11</v>
      </c>
      <c r="N131" s="1" t="s">
        <v>12</v>
      </c>
      <c r="O131" s="2" t="s">
        <v>241</v>
      </c>
      <c r="P131" s="1" t="s">
        <v>287</v>
      </c>
    </row>
    <row r="132" spans="1:16" x14ac:dyDescent="0.2">
      <c r="A132" s="1">
        <v>40008</v>
      </c>
      <c r="B132" s="1" t="s">
        <v>330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20584.96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/>
      <c r="O132" s="17">
        <f>SUM(Tabela215171920212425[[#This Row],[JAN]:[DEZ]])</f>
        <v>20584.96</v>
      </c>
      <c r="P132" s="28">
        <f>Tabela215171920212425[[#This Row],[2019]]/Tabela215171920212425[[#Totals],[2019]]</f>
        <v>1.6177577125658388E-2</v>
      </c>
    </row>
    <row r="133" spans="1:16" x14ac:dyDescent="0.2">
      <c r="A133" s="1">
        <v>60072</v>
      </c>
      <c r="B133" s="1" t="s">
        <v>331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/>
      <c r="O133" s="17">
        <f>SUM(Tabela215171920212425[[#This Row],[JAN]:[DEZ]])</f>
        <v>0</v>
      </c>
      <c r="P133" s="28">
        <f>Tabela215171920212425[[#This Row],[2019]]/Tabela215171920212425[[#Totals],[2019]]</f>
        <v>0</v>
      </c>
    </row>
    <row r="134" spans="1:16" x14ac:dyDescent="0.2">
      <c r="A134" s="1">
        <v>60082</v>
      </c>
      <c r="B134" s="1" t="s">
        <v>332</v>
      </c>
      <c r="C134" s="16">
        <v>51701.760000000009</v>
      </c>
      <c r="D134" s="16">
        <v>118722.56000000004</v>
      </c>
      <c r="E134" s="16">
        <v>124945.92</v>
      </c>
      <c r="F134" s="16">
        <v>140743.67999999999</v>
      </c>
      <c r="G134" s="16">
        <v>120158.72000000002</v>
      </c>
      <c r="H134" s="16">
        <v>136913.92000000004</v>
      </c>
      <c r="I134" s="16">
        <v>131169.28000000003</v>
      </c>
      <c r="J134" s="16">
        <v>32074.239999999998</v>
      </c>
      <c r="K134" s="16">
        <v>145530.87999999998</v>
      </c>
      <c r="L134" s="16">
        <v>108669.44000000002</v>
      </c>
      <c r="M134" s="16">
        <v>124467.20000000001</v>
      </c>
      <c r="N134" s="16"/>
      <c r="O134" s="17">
        <f>SUM(Tabela215171920212425[[#This Row],[JAN]:[DEZ]])</f>
        <v>1235097.6000000001</v>
      </c>
      <c r="P134" s="28">
        <f>Tabela215171920212425[[#This Row],[2019]]/Tabela215171920212425[[#Totals],[2019]]</f>
        <v>0.97065462753950349</v>
      </c>
    </row>
    <row r="135" spans="1:16" x14ac:dyDescent="0.2">
      <c r="A135" s="1">
        <v>60120</v>
      </c>
      <c r="B135" s="1" t="s">
        <v>333</v>
      </c>
      <c r="C135" s="16">
        <v>1436.16</v>
      </c>
      <c r="D135" s="16">
        <v>0</v>
      </c>
      <c r="E135" s="16">
        <v>4787.2</v>
      </c>
      <c r="F135" s="16">
        <v>478.72</v>
      </c>
      <c r="G135" s="16">
        <v>478.72</v>
      </c>
      <c r="H135" s="16">
        <v>0</v>
      </c>
      <c r="I135" s="16">
        <v>5265.92</v>
      </c>
      <c r="J135" s="16">
        <v>957.44</v>
      </c>
      <c r="K135" s="16">
        <v>957.44</v>
      </c>
      <c r="L135" s="16">
        <v>957.44</v>
      </c>
      <c r="M135" s="16">
        <v>1436.16</v>
      </c>
      <c r="N135" s="16"/>
      <c r="O135" s="17">
        <f>SUM(Tabela215171920212425[[#This Row],[JAN]:[DEZ]])</f>
        <v>16755.200000000004</v>
      </c>
      <c r="P135" s="28">
        <f>Tabela215171920212425[[#This Row],[2019]]/Tabela215171920212425[[#Totals],[2019]]</f>
        <v>1.3167795334838228E-2</v>
      </c>
    </row>
    <row r="136" spans="1:16" x14ac:dyDescent="0.2">
      <c r="B136" s="118" t="s">
        <v>126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/>
      <c r="O136" s="129">
        <f>SUM(Tabela215171920212425[[#This Row],[JAN]:[DEZ]])</f>
        <v>0</v>
      </c>
      <c r="P136" s="126">
        <f>Tabela215171920212425[[#This Row],[2019]]/Tabela215171920212425[[#Totals],[2019]]</f>
        <v>0</v>
      </c>
    </row>
    <row r="137" spans="1:16" x14ac:dyDescent="0.2">
      <c r="B137" s="118"/>
      <c r="C137" s="130">
        <f>SUBTOTAL(109,Tabela215171920212425[JAN])</f>
        <v>53137.920000000013</v>
      </c>
      <c r="D137" s="130">
        <f>SUBTOTAL(109,Tabela215171920212425[FEV])</f>
        <v>118722.56000000004</v>
      </c>
      <c r="E137" s="130">
        <f>SUBTOTAL(109,Tabela215171920212425[MAR])</f>
        <v>129733.12</v>
      </c>
      <c r="F137" s="130">
        <f>SUBTOTAL(109,Tabela215171920212425[ABR])</f>
        <v>141222.39999999999</v>
      </c>
      <c r="G137" s="130">
        <f>SUBTOTAL(109,Tabela215171920212425[MAI])</f>
        <v>120637.44000000002</v>
      </c>
      <c r="H137" s="130">
        <f>SUBTOTAL(109,Tabela215171920212425[JUN])</f>
        <v>157498.88000000003</v>
      </c>
      <c r="I137" s="130">
        <f>SUBTOTAL(109,Tabela215171920212425[JUL])</f>
        <v>136435.20000000004</v>
      </c>
      <c r="J137" s="130">
        <f>SUBTOTAL(109,Tabela215171920212425[AGO])</f>
        <v>33031.68</v>
      </c>
      <c r="K137" s="130">
        <f>SUBTOTAL(109,Tabela215171920212425[SET])</f>
        <v>146488.31999999998</v>
      </c>
      <c r="L137" s="130">
        <f>SUBTOTAL(109,Tabela215171920212425[OUT])</f>
        <v>109626.88000000002</v>
      </c>
      <c r="M137" s="130">
        <f>SUBTOTAL(109,Tabela215171920212425[NOV])</f>
        <v>125903.36000000002</v>
      </c>
      <c r="N137" s="130">
        <f>SUBTOTAL(109,Tabela215171920212425[DEZ])</f>
        <v>0</v>
      </c>
      <c r="O137" s="130">
        <f>SUBTOTAL(109,Tabela215171920212425[2019])</f>
        <v>1272437.76</v>
      </c>
      <c r="P137" s="118"/>
    </row>
  </sheetData>
  <mergeCells count="22">
    <mergeCell ref="B122:P122"/>
    <mergeCell ref="B130:P130"/>
    <mergeCell ref="B74:P74"/>
    <mergeCell ref="B82:P82"/>
    <mergeCell ref="B90:P90"/>
    <mergeCell ref="B98:P98"/>
    <mergeCell ref="B106:P106"/>
    <mergeCell ref="B48:P48"/>
    <mergeCell ref="B53:P53"/>
    <mergeCell ref="B58:P58"/>
    <mergeCell ref="B66:P66"/>
    <mergeCell ref="B114:P114"/>
    <mergeCell ref="B23:P23"/>
    <mergeCell ref="B28:P28"/>
    <mergeCell ref="B33:P33"/>
    <mergeCell ref="B38:P38"/>
    <mergeCell ref="B43:P43"/>
    <mergeCell ref="B2:P2"/>
    <mergeCell ref="B3:P3"/>
    <mergeCell ref="B8:P8"/>
    <mergeCell ref="B13:P13"/>
    <mergeCell ref="B18:P1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108" calculatedColumn="1"/>
  </ignoredErrors>
  <tableParts count="2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81"/>
  <sheetViews>
    <sheetView workbookViewId="0">
      <selection sqref="A1:O1"/>
    </sheetView>
  </sheetViews>
  <sheetFormatPr defaultRowHeight="11.25" x14ac:dyDescent="0.2"/>
  <cols>
    <col min="1" max="1" width="52.7109375" style="1" bestFit="1" customWidth="1"/>
    <col min="2" max="13" width="12.85546875" style="1" customWidth="1"/>
    <col min="14" max="14" width="12.85546875" style="2" customWidth="1"/>
    <col min="15" max="15" width="9.140625" style="2"/>
    <col min="16" max="16384" width="9.140625" style="1"/>
  </cols>
  <sheetData>
    <row r="1" spans="1:15" ht="20.25" thickTop="1" thickBot="1" x14ac:dyDescent="0.35">
      <c r="A1" s="194" t="s">
        <v>361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ht="16.5" thickTop="1" x14ac:dyDescent="0.2">
      <c r="A2" s="195" t="s">
        <v>380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 x14ac:dyDescent="0.2">
      <c r="A3" s="1" t="s">
        <v>56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2" t="s">
        <v>241</v>
      </c>
      <c r="O3" s="2" t="s">
        <v>244</v>
      </c>
    </row>
    <row r="4" spans="1:15" x14ac:dyDescent="0.2">
      <c r="A4" s="1" t="s">
        <v>339</v>
      </c>
      <c r="B4" s="9">
        <v>13168</v>
      </c>
      <c r="C4" s="9">
        <v>12078</v>
      </c>
      <c r="D4" s="9">
        <v>12901</v>
      </c>
      <c r="E4" s="9">
        <v>13904</v>
      </c>
      <c r="F4" s="9">
        <v>15276</v>
      </c>
      <c r="G4" s="9">
        <v>13510</v>
      </c>
      <c r="H4" s="9">
        <v>12235</v>
      </c>
      <c r="I4" s="9">
        <v>12823</v>
      </c>
      <c r="J4" s="9">
        <v>14355</v>
      </c>
      <c r="K4" s="9">
        <v>13407</v>
      </c>
      <c r="L4" s="9"/>
      <c r="M4" s="9"/>
      <c r="N4" s="14">
        <f>SUM(Tabela2134[[#This Row],[JAN]:[DEZ]])</f>
        <v>133657</v>
      </c>
      <c r="O4" s="134">
        <f>Tabela2134[[#This Row],[2019]]/Tabela2134[[#Totals],[2019]]</f>
        <v>1</v>
      </c>
    </row>
    <row r="5" spans="1:15" x14ac:dyDescent="0.2">
      <c r="A5" s="1" t="s">
        <v>340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/>
      <c r="M5" s="9"/>
      <c r="N5" s="14">
        <f>SUM(Tabela2134[[#This Row],[JAN]:[DEZ]])</f>
        <v>0</v>
      </c>
      <c r="O5" s="134">
        <f>Tabela2134[[#This Row],[2019]]/Tabela2134[[#Totals],[2019]]</f>
        <v>0</v>
      </c>
    </row>
    <row r="6" spans="1:15" x14ac:dyDescent="0.2">
      <c r="A6" s="1" t="s">
        <v>341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/>
      <c r="M6" s="9"/>
      <c r="N6" s="14">
        <f>SUM(Tabela2134[[#This Row],[JAN]:[DEZ]])</f>
        <v>0</v>
      </c>
      <c r="O6" s="134">
        <f>Tabela2134[[#This Row],[2019]]/Tabela2134[[#Totals],[2019]]</f>
        <v>0</v>
      </c>
    </row>
    <row r="7" spans="1:15" ht="12" thickBot="1" x14ac:dyDescent="0.25">
      <c r="A7" s="118"/>
      <c r="B7" s="119">
        <f>SUBTOTAL(109,Tabela2134[JAN])</f>
        <v>13168</v>
      </c>
      <c r="C7" s="119">
        <f>SUBTOTAL(109,Tabela2134[FEV])</f>
        <v>12078</v>
      </c>
      <c r="D7" s="119">
        <f>SUBTOTAL(109,Tabela2134[MAR])</f>
        <v>12901</v>
      </c>
      <c r="E7" s="119">
        <f>SUBTOTAL(109,Tabela2134[ABR])</f>
        <v>13904</v>
      </c>
      <c r="F7" s="119">
        <f>SUBTOTAL(109,Tabela2134[MAI])</f>
        <v>15276</v>
      </c>
      <c r="G7" s="119">
        <f>SUBTOTAL(109,Tabela2134[JUN])</f>
        <v>13510</v>
      </c>
      <c r="H7" s="119">
        <f>SUBTOTAL(109,Tabela2134[JUL])</f>
        <v>12235</v>
      </c>
      <c r="I7" s="119">
        <f>SUBTOTAL(109,Tabela2134[AGO])</f>
        <v>12823</v>
      </c>
      <c r="J7" s="119">
        <f>SUBTOTAL(109,Tabela2134[SET])</f>
        <v>14355</v>
      </c>
      <c r="K7" s="119">
        <f>SUBTOTAL(109,Tabela2134[OUT])</f>
        <v>13407</v>
      </c>
      <c r="L7" s="119">
        <f>SUBTOTAL(109,Tabela2134[NOV])</f>
        <v>0</v>
      </c>
      <c r="M7" s="119">
        <f>SUBTOTAL(109,Tabela2134[DEZ])</f>
        <v>0</v>
      </c>
      <c r="N7" s="120">
        <f>SUBTOTAL(109,Tabela2134[2019])</f>
        <v>133657</v>
      </c>
      <c r="O7" s="122"/>
    </row>
    <row r="8" spans="1:15" ht="16.5" thickTop="1" x14ac:dyDescent="0.2">
      <c r="A8" s="195" t="s">
        <v>381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</row>
    <row r="9" spans="1:15" x14ac:dyDescent="0.2">
      <c r="A9" s="1" t="s">
        <v>56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2" t="s">
        <v>241</v>
      </c>
      <c r="O9" s="2" t="s">
        <v>244</v>
      </c>
    </row>
    <row r="10" spans="1:15" x14ac:dyDescent="0.2">
      <c r="A10" s="1" t="s">
        <v>339</v>
      </c>
      <c r="B10" s="16">
        <v>206502.62000000227</v>
      </c>
      <c r="C10" s="16">
        <v>149953.66000000131</v>
      </c>
      <c r="D10" s="16">
        <v>222684.9200000054</v>
      </c>
      <c r="E10" s="16">
        <v>239934.56000000652</v>
      </c>
      <c r="F10" s="16">
        <v>254091.36000000741</v>
      </c>
      <c r="G10" s="16">
        <v>233840.47000000649</v>
      </c>
      <c r="H10" s="16">
        <v>192783.01000000208</v>
      </c>
      <c r="I10" s="16">
        <v>214984.63000000489</v>
      </c>
      <c r="J10" s="16">
        <v>240852.10000000504</v>
      </c>
      <c r="K10" s="16">
        <v>209285.12000000355</v>
      </c>
      <c r="L10" s="16"/>
      <c r="M10" s="16"/>
      <c r="N10" s="17">
        <f>SUM(Tabela24135[[#This Row],[JAN]:[DEZ]])</f>
        <v>2164912.4500000449</v>
      </c>
      <c r="O10" s="134">
        <f>Tabela24135[[#This Row],[2019]]/Tabela24135[[#Totals],[2019]]</f>
        <v>1</v>
      </c>
    </row>
    <row r="11" spans="1:15" x14ac:dyDescent="0.2">
      <c r="A11" s="1" t="s">
        <v>340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/>
      <c r="M11" s="16"/>
      <c r="N11" s="17">
        <f>SUM(Tabela24135[[#This Row],[JAN]:[DEZ]])</f>
        <v>0</v>
      </c>
      <c r="O11" s="134">
        <f>Tabela24135[[#This Row],[2019]]/Tabela24135[[#Totals],[2019]]</f>
        <v>0</v>
      </c>
    </row>
    <row r="12" spans="1:15" x14ac:dyDescent="0.2">
      <c r="A12" s="1" t="s">
        <v>341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/>
      <c r="M12" s="16"/>
      <c r="N12" s="17">
        <f>SUM(Tabela24135[[#This Row],[JAN]:[DEZ]])</f>
        <v>0</v>
      </c>
      <c r="O12" s="134">
        <f>Tabela24135[[#This Row],[2019]]/Tabela24135[[#Totals],[2019]]</f>
        <v>0</v>
      </c>
    </row>
    <row r="13" spans="1:15" ht="12" thickBot="1" x14ac:dyDescent="0.25">
      <c r="A13" s="118"/>
      <c r="B13" s="130">
        <f>SUBTOTAL(109,Tabela24135[JAN])</f>
        <v>206502.62000000227</v>
      </c>
      <c r="C13" s="130">
        <f>SUBTOTAL(109,Tabela24135[FEV])</f>
        <v>149953.66000000131</v>
      </c>
      <c r="D13" s="130">
        <f>SUBTOTAL(109,Tabela24135[MAR])</f>
        <v>222684.9200000054</v>
      </c>
      <c r="E13" s="130">
        <f>SUBTOTAL(109,Tabela24135[ABR])</f>
        <v>239934.56000000652</v>
      </c>
      <c r="F13" s="130">
        <f>SUBTOTAL(109,Tabela24135[MAI])</f>
        <v>254091.36000000741</v>
      </c>
      <c r="G13" s="130">
        <f>SUBTOTAL(109,Tabela24135[JUN])</f>
        <v>233840.47000000649</v>
      </c>
      <c r="H13" s="130">
        <f>SUBTOTAL(109,Tabela24135[JUL])</f>
        <v>192783.01000000208</v>
      </c>
      <c r="I13" s="130">
        <f>SUBTOTAL(109,Tabela24135[AGO])</f>
        <v>214984.63000000489</v>
      </c>
      <c r="J13" s="130">
        <f>SUBTOTAL(109,Tabela24135[SET])</f>
        <v>240852.10000000504</v>
      </c>
      <c r="K13" s="130">
        <f>SUBTOTAL(109,Tabela24135[OUT])</f>
        <v>209285.12000000355</v>
      </c>
      <c r="L13" s="130">
        <f>SUBTOTAL(109,Tabela24135[NOV])</f>
        <v>0</v>
      </c>
      <c r="M13" s="130">
        <f>SUBTOTAL(109,Tabela24135[DEZ])</f>
        <v>0</v>
      </c>
      <c r="N13" s="135">
        <f>SUBTOTAL(109,Tabela24135[2019])</f>
        <v>2164912.4500000449</v>
      </c>
      <c r="O13" s="122"/>
    </row>
    <row r="14" spans="1:15" ht="16.5" thickTop="1" x14ac:dyDescent="0.2">
      <c r="A14" s="195" t="s">
        <v>382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</row>
    <row r="15" spans="1:15" x14ac:dyDescent="0.2">
      <c r="A15" s="1" t="s">
        <v>342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2" t="s">
        <v>241</v>
      </c>
      <c r="O15" s="2" t="s">
        <v>244</v>
      </c>
    </row>
    <row r="16" spans="1:15" x14ac:dyDescent="0.2">
      <c r="A16" s="1" t="s">
        <v>343</v>
      </c>
      <c r="B16" s="9">
        <v>0</v>
      </c>
      <c r="C16" s="9">
        <v>0</v>
      </c>
      <c r="D16" s="9">
        <v>0</v>
      </c>
      <c r="E16" s="9">
        <v>95</v>
      </c>
      <c r="F16" s="9">
        <v>33</v>
      </c>
      <c r="G16" s="9">
        <v>12</v>
      </c>
      <c r="H16" s="9">
        <v>0</v>
      </c>
      <c r="I16" s="9">
        <v>107</v>
      </c>
      <c r="J16" s="9">
        <v>65</v>
      </c>
      <c r="K16" s="9">
        <v>92</v>
      </c>
      <c r="L16" s="9"/>
      <c r="M16" s="9"/>
      <c r="N16" s="14">
        <f>SUM(Tabela26[[#This Row],[JAN]:[DEZ]])</f>
        <v>404</v>
      </c>
      <c r="O16" s="134">
        <f>Tabela26[[#This Row],[2019]]/Tabela26[[#Totals],[2019]]</f>
        <v>3.0226624868132609E-3</v>
      </c>
    </row>
    <row r="17" spans="1:15" x14ac:dyDescent="0.2">
      <c r="A17" s="1" t="s">
        <v>344</v>
      </c>
      <c r="B17" s="9">
        <v>5248</v>
      </c>
      <c r="C17" s="9">
        <v>4892</v>
      </c>
      <c r="D17" s="9">
        <v>4962</v>
      </c>
      <c r="E17" s="9">
        <v>5825</v>
      </c>
      <c r="F17" s="9">
        <v>6838</v>
      </c>
      <c r="G17" s="9">
        <v>6074</v>
      </c>
      <c r="H17" s="9">
        <v>4600</v>
      </c>
      <c r="I17" s="9">
        <v>5403</v>
      </c>
      <c r="J17" s="9">
        <v>6014</v>
      </c>
      <c r="K17" s="9">
        <v>5376</v>
      </c>
      <c r="L17" s="9"/>
      <c r="M17" s="9"/>
      <c r="N17" s="14">
        <f>SUM(Tabela26[[#This Row],[JAN]:[DEZ]])</f>
        <v>55232</v>
      </c>
      <c r="O17" s="134">
        <f>Tabela26[[#This Row],[2019]]/Tabela26[[#Totals],[2019]]</f>
        <v>0.41323686750413374</v>
      </c>
    </row>
    <row r="18" spans="1:15" x14ac:dyDescent="0.2">
      <c r="A18" s="1" t="s">
        <v>345</v>
      </c>
      <c r="B18" s="9">
        <v>6730</v>
      </c>
      <c r="C18" s="9">
        <v>6074</v>
      </c>
      <c r="D18" s="9">
        <v>6861</v>
      </c>
      <c r="E18" s="9">
        <v>6857</v>
      </c>
      <c r="F18" s="9">
        <v>7440</v>
      </c>
      <c r="G18" s="9">
        <v>6593</v>
      </c>
      <c r="H18" s="9">
        <v>6374</v>
      </c>
      <c r="I18" s="9">
        <v>6282</v>
      </c>
      <c r="J18" s="9">
        <v>7215</v>
      </c>
      <c r="K18" s="9">
        <v>7037</v>
      </c>
      <c r="L18" s="9"/>
      <c r="M18" s="9"/>
      <c r="N18" s="14">
        <f>SUM(Tabela26[[#This Row],[JAN]:[DEZ]])</f>
        <v>67463</v>
      </c>
      <c r="O18" s="134">
        <f>Tabela26[[#This Row],[2019]]/Tabela26[[#Totals],[2019]]</f>
        <v>0.50474722610862133</v>
      </c>
    </row>
    <row r="19" spans="1:15" x14ac:dyDescent="0.2">
      <c r="A19" s="1" t="s">
        <v>346</v>
      </c>
      <c r="B19" s="9">
        <v>1190</v>
      </c>
      <c r="C19" s="9">
        <v>1112</v>
      </c>
      <c r="D19" s="9">
        <v>1078</v>
      </c>
      <c r="E19" s="9">
        <v>1127</v>
      </c>
      <c r="F19" s="9">
        <v>965</v>
      </c>
      <c r="G19" s="9">
        <v>831</v>
      </c>
      <c r="H19" s="9">
        <v>1261</v>
      </c>
      <c r="I19" s="9">
        <v>1031</v>
      </c>
      <c r="J19" s="9">
        <v>1061</v>
      </c>
      <c r="K19" s="9">
        <v>902</v>
      </c>
      <c r="L19" s="9"/>
      <c r="M19" s="9"/>
      <c r="N19" s="14">
        <f>SUM(Tabela26[[#This Row],[JAN]:[DEZ]])</f>
        <v>10558</v>
      </c>
      <c r="O19" s="134">
        <f>Tabela26[[#This Row],[2019]]/Tabela26[[#Totals],[2019]]</f>
        <v>7.8993243900431706E-2</v>
      </c>
    </row>
    <row r="20" spans="1:15" ht="12" thickBot="1" x14ac:dyDescent="0.25">
      <c r="A20" s="118"/>
      <c r="B20" s="119">
        <f>SUBTOTAL(109,Tabela26[JAN])</f>
        <v>13168</v>
      </c>
      <c r="C20" s="119">
        <f>SUBTOTAL(109,Tabela26[FEV])</f>
        <v>12078</v>
      </c>
      <c r="D20" s="119">
        <f>SUBTOTAL(109,Tabela26[MAR])</f>
        <v>12901</v>
      </c>
      <c r="E20" s="119">
        <f>SUBTOTAL(109,Tabela26[ABR])</f>
        <v>13904</v>
      </c>
      <c r="F20" s="119">
        <f>SUBTOTAL(109,Tabela26[MAI])</f>
        <v>15276</v>
      </c>
      <c r="G20" s="119">
        <f>SUBTOTAL(109,Tabela26[JUN])</f>
        <v>13510</v>
      </c>
      <c r="H20" s="119">
        <f>SUBTOTAL(109,Tabela26[JUL])</f>
        <v>12235</v>
      </c>
      <c r="I20" s="119">
        <f>SUBTOTAL(109,Tabela26[AGO])</f>
        <v>12823</v>
      </c>
      <c r="J20" s="119">
        <f>SUBTOTAL(109,Tabela26[SET])</f>
        <v>14355</v>
      </c>
      <c r="K20" s="119">
        <f>SUBTOTAL(109,Tabela26[OUT])</f>
        <v>13407</v>
      </c>
      <c r="L20" s="119">
        <f>SUBTOTAL(109,Tabela26[NOV])</f>
        <v>0</v>
      </c>
      <c r="M20" s="119">
        <f>SUBTOTAL(109,Tabela26[DEZ])</f>
        <v>0</v>
      </c>
      <c r="N20" s="120">
        <f>SUBTOTAL(109,Tabela26[2019])</f>
        <v>133657</v>
      </c>
      <c r="O20" s="122"/>
    </row>
    <row r="21" spans="1:15" ht="16.5" thickTop="1" x14ac:dyDescent="0.2">
      <c r="A21" s="195" t="s">
        <v>383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</row>
    <row r="22" spans="1:15" x14ac:dyDescent="0.2">
      <c r="A22" s="1" t="s">
        <v>342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2" t="s">
        <v>241</v>
      </c>
      <c r="O22" s="2" t="s">
        <v>244</v>
      </c>
    </row>
    <row r="23" spans="1:15" x14ac:dyDescent="0.2">
      <c r="A23" s="1" t="s">
        <v>343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/>
      <c r="M23" s="16"/>
      <c r="N23" s="17">
        <f>SUM(Tabela267[[#This Row],[JAN]:[DEZ]])</f>
        <v>0</v>
      </c>
      <c r="O23" s="134">
        <f>Tabela267[[#This Row],[2019]]/Tabela267[[#Totals],[2019]]</f>
        <v>0</v>
      </c>
    </row>
    <row r="24" spans="1:15" x14ac:dyDescent="0.2">
      <c r="A24" s="1" t="s">
        <v>344</v>
      </c>
      <c r="B24" s="16">
        <v>125075.31000000077</v>
      </c>
      <c r="C24" s="16">
        <v>75267.130000000339</v>
      </c>
      <c r="D24" s="16">
        <v>137858.16000000175</v>
      </c>
      <c r="E24" s="16">
        <v>155969.91000000245</v>
      </c>
      <c r="F24" s="16">
        <v>171563.73000000312</v>
      </c>
      <c r="G24" s="16">
        <v>155838.96000000217</v>
      </c>
      <c r="H24" s="16">
        <v>110036.88000000083</v>
      </c>
      <c r="I24" s="16">
        <v>135210.07000000158</v>
      </c>
      <c r="J24" s="16">
        <v>155067.57000000213</v>
      </c>
      <c r="K24" s="16">
        <v>131207.6500000011</v>
      </c>
      <c r="L24" s="16"/>
      <c r="M24" s="16"/>
      <c r="N24" s="17">
        <f>SUM(Tabela267[[#This Row],[JAN]:[DEZ]])</f>
        <v>1353095.3700000162</v>
      </c>
      <c r="O24" s="134">
        <f>Tabela267[[#This Row],[2019]]/Tabela267[[#Totals],[2019]]</f>
        <v>0.62501158880582319</v>
      </c>
    </row>
    <row r="25" spans="1:15" x14ac:dyDescent="0.2">
      <c r="A25" s="1" t="s">
        <v>345</v>
      </c>
      <c r="B25" s="16">
        <v>67135.429999999993</v>
      </c>
      <c r="C25" s="16">
        <v>59317.1</v>
      </c>
      <c r="D25" s="16">
        <v>67480.550000000352</v>
      </c>
      <c r="E25" s="16">
        <v>67604.570000000065</v>
      </c>
      <c r="F25" s="16">
        <v>69409.629999999874</v>
      </c>
      <c r="G25" s="16">
        <v>64263.069999999454</v>
      </c>
      <c r="H25" s="16">
        <v>68980.269999999931</v>
      </c>
      <c r="I25" s="16">
        <v>64614.319999999854</v>
      </c>
      <c r="J25" s="16">
        <v>70325.459999999788</v>
      </c>
      <c r="K25" s="16">
        <v>63898.949999999742</v>
      </c>
      <c r="L25" s="16"/>
      <c r="M25" s="16"/>
      <c r="N25" s="17">
        <f>SUM(Tabela267[[#This Row],[JAN]:[DEZ]])</f>
        <v>663029.34999999893</v>
      </c>
      <c r="O25" s="134">
        <f>Tabela267[[#This Row],[2019]]/Tabela267[[#Totals],[2019]]</f>
        <v>0.30626150724940149</v>
      </c>
    </row>
    <row r="26" spans="1:15" x14ac:dyDescent="0.2">
      <c r="A26" s="1" t="s">
        <v>346</v>
      </c>
      <c r="B26" s="16">
        <v>14291.879999999919</v>
      </c>
      <c r="C26" s="16">
        <v>15369.429999999909</v>
      </c>
      <c r="D26" s="16">
        <v>17346.209999999912</v>
      </c>
      <c r="E26" s="16">
        <v>16360.079999999898</v>
      </c>
      <c r="F26" s="16">
        <v>13117.999999999927</v>
      </c>
      <c r="G26" s="16">
        <v>13738.439999999926</v>
      </c>
      <c r="H26" s="16">
        <v>13765.859999999922</v>
      </c>
      <c r="I26" s="16">
        <v>15160.239999999914</v>
      </c>
      <c r="J26" s="16">
        <v>15459.069999999912</v>
      </c>
      <c r="K26" s="16">
        <v>14178.519999999919</v>
      </c>
      <c r="L26" s="16"/>
      <c r="M26" s="16"/>
      <c r="N26" s="17">
        <f>SUM(Tabela267[[#This Row],[JAN]:[DEZ]])</f>
        <v>148787.7299999992</v>
      </c>
      <c r="O26" s="134">
        <f>Tabela267[[#This Row],[2019]]/Tabela267[[#Totals],[2019]]</f>
        <v>6.8726903944775333E-2</v>
      </c>
    </row>
    <row r="27" spans="1:15" ht="12" thickBot="1" x14ac:dyDescent="0.25">
      <c r="A27" s="118"/>
      <c r="B27" s="130">
        <f>SUBTOTAL(109,Tabela267[JAN])</f>
        <v>206502.62000000066</v>
      </c>
      <c r="C27" s="130">
        <f>SUBTOTAL(109,Tabela267[FEV])</f>
        <v>149953.66000000024</v>
      </c>
      <c r="D27" s="130">
        <f>SUBTOTAL(109,Tabela267[MAR])</f>
        <v>222684.92000000202</v>
      </c>
      <c r="E27" s="130">
        <f>SUBTOTAL(109,Tabela267[ABR])</f>
        <v>239934.56000000241</v>
      </c>
      <c r="F27" s="130">
        <f>SUBTOTAL(109,Tabela267[MAI])</f>
        <v>254091.36000000295</v>
      </c>
      <c r="G27" s="130">
        <f>SUBTOTAL(109,Tabela267[JUN])</f>
        <v>233840.47000000154</v>
      </c>
      <c r="H27" s="130">
        <f>SUBTOTAL(109,Tabela267[JUL])</f>
        <v>192783.01000000071</v>
      </c>
      <c r="I27" s="130">
        <f>SUBTOTAL(109,Tabela267[AGO])</f>
        <v>214984.63000000134</v>
      </c>
      <c r="J27" s="130">
        <f>SUBTOTAL(109,Tabela267[SET])</f>
        <v>240852.10000000184</v>
      </c>
      <c r="K27" s="130">
        <f>SUBTOTAL(109,Tabela267[OUT])</f>
        <v>209285.12000000078</v>
      </c>
      <c r="L27" s="130">
        <f>SUBTOTAL(109,Tabela267[NOV])</f>
        <v>0</v>
      </c>
      <c r="M27" s="130">
        <f>SUBTOTAL(109,Tabela267[DEZ])</f>
        <v>0</v>
      </c>
      <c r="N27" s="135">
        <f>SUBTOTAL(109,Tabela267[2019])</f>
        <v>2164912.4500000142</v>
      </c>
      <c r="O27" s="122"/>
    </row>
    <row r="28" spans="1:15" ht="16.5" thickTop="1" x14ac:dyDescent="0.2">
      <c r="A28" s="195" t="s">
        <v>384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</row>
    <row r="29" spans="1:15" x14ac:dyDescent="0.2">
      <c r="A29" s="193" t="s">
        <v>343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</row>
    <row r="30" spans="1:15" x14ac:dyDescent="0.2">
      <c r="A30" s="1" t="s">
        <v>342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2" t="s">
        <v>241</v>
      </c>
      <c r="O30" s="2" t="s">
        <v>244</v>
      </c>
    </row>
    <row r="31" spans="1:15" x14ac:dyDescent="0.2">
      <c r="A31" s="1" t="s">
        <v>347</v>
      </c>
      <c r="B31" s="9">
        <v>0</v>
      </c>
      <c r="C31" s="9">
        <v>0</v>
      </c>
      <c r="D31" s="9">
        <v>0</v>
      </c>
      <c r="E31" s="9">
        <v>95</v>
      </c>
      <c r="F31" s="9">
        <v>33</v>
      </c>
      <c r="G31" s="9">
        <v>12</v>
      </c>
      <c r="H31" s="9">
        <v>0</v>
      </c>
      <c r="I31" s="9">
        <v>107</v>
      </c>
      <c r="J31" s="9">
        <v>65</v>
      </c>
      <c r="K31" s="9">
        <v>92</v>
      </c>
      <c r="L31" s="9"/>
      <c r="M31" s="9"/>
      <c r="N31" s="14">
        <f>SUM(Tabela268[[#This Row],[JAN]:[DEZ]])</f>
        <v>404</v>
      </c>
      <c r="O31" s="134">
        <f>Tabela268[[#This Row],[2019]]/Tabela268[[#Totals],[2019]]</f>
        <v>1</v>
      </c>
    </row>
    <row r="32" spans="1:15" x14ac:dyDescent="0.2">
      <c r="A32" s="118"/>
      <c r="B32" s="119">
        <f>SUBTOTAL(109,Tabela268[JAN])</f>
        <v>0</v>
      </c>
      <c r="C32" s="119">
        <f>SUBTOTAL(109,Tabela268[FEV])</f>
        <v>0</v>
      </c>
      <c r="D32" s="119">
        <f>SUBTOTAL(109,Tabela268[MAR])</f>
        <v>0</v>
      </c>
      <c r="E32" s="119">
        <f>SUBTOTAL(109,Tabela268[ABR])</f>
        <v>95</v>
      </c>
      <c r="F32" s="119">
        <f>SUBTOTAL(109,Tabela268[MAI])</f>
        <v>33</v>
      </c>
      <c r="G32" s="119">
        <f>SUBTOTAL(109,Tabela268[JUN])</f>
        <v>12</v>
      </c>
      <c r="H32" s="119">
        <f>SUBTOTAL(109,Tabela268[JUL])</f>
        <v>0</v>
      </c>
      <c r="I32" s="119">
        <f>SUBTOTAL(109,Tabela268[AGO])</f>
        <v>107</v>
      </c>
      <c r="J32" s="119">
        <f>SUBTOTAL(109,Tabela268[SET])</f>
        <v>65</v>
      </c>
      <c r="K32" s="119">
        <f>SUBTOTAL(109,Tabela268[OUT])</f>
        <v>92</v>
      </c>
      <c r="L32" s="119">
        <f>SUBTOTAL(109,Tabela268[NOV])</f>
        <v>0</v>
      </c>
      <c r="M32" s="119">
        <f>SUBTOTAL(109,Tabela268[DEZ])</f>
        <v>0</v>
      </c>
      <c r="N32" s="120">
        <f>SUBTOTAL(109,Tabela268[2019])</f>
        <v>404</v>
      </c>
      <c r="O32" s="122"/>
    </row>
    <row r="33" spans="1:15" x14ac:dyDescent="0.2">
      <c r="A33" s="193" t="s">
        <v>344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</row>
    <row r="34" spans="1:15" x14ac:dyDescent="0.2">
      <c r="A34" s="1" t="s">
        <v>342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1" t="s">
        <v>6</v>
      </c>
      <c r="H34" s="1" t="s">
        <v>7</v>
      </c>
      <c r="I34" s="1" t="s">
        <v>8</v>
      </c>
      <c r="J34" s="1" t="s">
        <v>9</v>
      </c>
      <c r="K34" s="1" t="s">
        <v>10</v>
      </c>
      <c r="L34" s="1" t="s">
        <v>11</v>
      </c>
      <c r="M34" s="1" t="s">
        <v>12</v>
      </c>
      <c r="N34" s="2" t="s">
        <v>241</v>
      </c>
      <c r="O34" s="2" t="s">
        <v>244</v>
      </c>
    </row>
    <row r="35" spans="1:15" x14ac:dyDescent="0.2">
      <c r="A35" s="1" t="s">
        <v>348</v>
      </c>
      <c r="B35" s="9">
        <v>0</v>
      </c>
      <c r="C35" s="9">
        <v>2</v>
      </c>
      <c r="D35" s="9">
        <v>11</v>
      </c>
      <c r="E35" s="9">
        <v>8</v>
      </c>
      <c r="F35" s="9">
        <v>3</v>
      </c>
      <c r="G35" s="9">
        <v>8</v>
      </c>
      <c r="H35" s="9">
        <v>9</v>
      </c>
      <c r="I35" s="9">
        <v>8</v>
      </c>
      <c r="J35" s="9">
        <v>14</v>
      </c>
      <c r="K35" s="9">
        <v>2</v>
      </c>
      <c r="L35" s="9"/>
      <c r="M35" s="9"/>
      <c r="N35" s="14">
        <f>SUM(Tabela2689[[#This Row],[JAN]:[DEZ]])</f>
        <v>65</v>
      </c>
      <c r="O35" s="134">
        <f>Tabela2689[[#This Row],[2019]]/Tabela2689[[#Totals],[2019]]</f>
        <v>1.1768539976825029E-3</v>
      </c>
    </row>
    <row r="36" spans="1:15" x14ac:dyDescent="0.2">
      <c r="A36" s="1" t="s">
        <v>349</v>
      </c>
      <c r="B36" s="9">
        <v>1142</v>
      </c>
      <c r="C36" s="9">
        <v>1217</v>
      </c>
      <c r="D36" s="9">
        <v>1100</v>
      </c>
      <c r="E36" s="9">
        <v>992</v>
      </c>
      <c r="F36" s="9">
        <v>1414</v>
      </c>
      <c r="G36" s="9">
        <v>1284</v>
      </c>
      <c r="H36" s="9">
        <v>1158</v>
      </c>
      <c r="I36" s="9">
        <v>1186</v>
      </c>
      <c r="J36" s="9">
        <v>1582</v>
      </c>
      <c r="K36" s="9">
        <v>1370</v>
      </c>
      <c r="L36" s="9"/>
      <c r="M36" s="9"/>
      <c r="N36" s="14">
        <f>SUM(Tabela2689[[#This Row],[JAN]:[DEZ]])</f>
        <v>12445</v>
      </c>
      <c r="O36" s="134">
        <f>Tabela2689[[#This Row],[2019]]/Tabela2689[[#Totals],[2019]]</f>
        <v>0.22532227694090382</v>
      </c>
    </row>
    <row r="37" spans="1:15" x14ac:dyDescent="0.2">
      <c r="A37" s="1" t="s">
        <v>350</v>
      </c>
      <c r="B37" s="9">
        <v>2796</v>
      </c>
      <c r="C37" s="9">
        <v>2530</v>
      </c>
      <c r="D37" s="9">
        <v>2351</v>
      </c>
      <c r="E37" s="9">
        <v>3108</v>
      </c>
      <c r="F37" s="9">
        <v>3325</v>
      </c>
      <c r="G37" s="9">
        <v>2890</v>
      </c>
      <c r="H37" s="9">
        <v>2448</v>
      </c>
      <c r="I37" s="9">
        <v>2634</v>
      </c>
      <c r="J37" s="9">
        <v>2648</v>
      </c>
      <c r="K37" s="9">
        <v>2490</v>
      </c>
      <c r="L37" s="9"/>
      <c r="M37" s="9"/>
      <c r="N37" s="14">
        <f>SUM(Tabela2689[[#This Row],[JAN]:[DEZ]])</f>
        <v>27220</v>
      </c>
      <c r="O37" s="134">
        <f>Tabela2689[[#This Row],[2019]]/Tabela2689[[#Totals],[2019]]</f>
        <v>0.49283024333719583</v>
      </c>
    </row>
    <row r="38" spans="1:15" x14ac:dyDescent="0.2">
      <c r="A38" s="1" t="s">
        <v>351</v>
      </c>
      <c r="B38" s="9">
        <v>166</v>
      </c>
      <c r="C38" s="9">
        <v>45</v>
      </c>
      <c r="D38" s="9">
        <v>205</v>
      </c>
      <c r="E38" s="9">
        <v>374</v>
      </c>
      <c r="F38" s="9">
        <v>382</v>
      </c>
      <c r="G38" s="9">
        <v>310</v>
      </c>
      <c r="H38" s="9">
        <v>45</v>
      </c>
      <c r="I38" s="9">
        <v>224</v>
      </c>
      <c r="J38" s="9">
        <v>306</v>
      </c>
      <c r="K38" s="9">
        <v>72</v>
      </c>
      <c r="L38" s="9"/>
      <c r="M38" s="9"/>
      <c r="N38" s="14">
        <f>SUM(Tabela2689[[#This Row],[JAN]:[DEZ]])</f>
        <v>2129</v>
      </c>
      <c r="O38" s="134">
        <f>Tabela2689[[#This Row],[2019]]/Tabela2689[[#Totals],[2019]]</f>
        <v>3.8546494785631519E-2</v>
      </c>
    </row>
    <row r="39" spans="1:15" x14ac:dyDescent="0.2">
      <c r="A39" s="1" t="s">
        <v>352</v>
      </c>
      <c r="B39" s="9">
        <v>874</v>
      </c>
      <c r="C39" s="9">
        <v>450</v>
      </c>
      <c r="D39" s="9">
        <v>983</v>
      </c>
      <c r="E39" s="9">
        <v>1038</v>
      </c>
      <c r="F39" s="9">
        <v>1125</v>
      </c>
      <c r="G39" s="9">
        <v>1061</v>
      </c>
      <c r="H39" s="9">
        <v>787</v>
      </c>
      <c r="I39" s="9">
        <v>933</v>
      </c>
      <c r="J39" s="9">
        <v>1054</v>
      </c>
      <c r="K39" s="9">
        <v>946</v>
      </c>
      <c r="L39" s="9"/>
      <c r="M39" s="9"/>
      <c r="N39" s="14">
        <f>SUM(Tabela2689[[#This Row],[JAN]:[DEZ]])</f>
        <v>9251</v>
      </c>
      <c r="O39" s="134">
        <f>Tabela2689[[#This Row],[2019]]/Tabela2689[[#Totals],[2019]]</f>
        <v>0.16749348203939746</v>
      </c>
    </row>
    <row r="40" spans="1:15" x14ac:dyDescent="0.2">
      <c r="A40" s="1" t="s">
        <v>353</v>
      </c>
      <c r="B40" s="9">
        <v>270</v>
      </c>
      <c r="C40" s="9">
        <v>648</v>
      </c>
      <c r="D40" s="9">
        <v>312</v>
      </c>
      <c r="E40" s="9">
        <v>305</v>
      </c>
      <c r="F40" s="9">
        <v>589</v>
      </c>
      <c r="G40" s="9">
        <v>521</v>
      </c>
      <c r="H40" s="9">
        <v>153</v>
      </c>
      <c r="I40" s="9">
        <v>418</v>
      </c>
      <c r="J40" s="9">
        <v>410</v>
      </c>
      <c r="K40" s="9">
        <v>496</v>
      </c>
      <c r="L40" s="9"/>
      <c r="M40" s="9"/>
      <c r="N40" s="14">
        <f>SUM(Tabela2689[[#This Row],[JAN]:[DEZ]])</f>
        <v>4122</v>
      </c>
      <c r="O40" s="134">
        <f>Tabela2689[[#This Row],[2019]]/Tabela2689[[#Totals],[2019]]</f>
        <v>7.463064889918887E-2</v>
      </c>
    </row>
    <row r="41" spans="1:15" x14ac:dyDescent="0.2">
      <c r="A41" s="118"/>
      <c r="B41" s="119">
        <f>SUBTOTAL(109,Tabela2689[JAN])</f>
        <v>5248</v>
      </c>
      <c r="C41" s="119">
        <f>SUBTOTAL(109,Tabela2689[FEV])</f>
        <v>4892</v>
      </c>
      <c r="D41" s="119">
        <f>SUBTOTAL(109,Tabela2689[MAR])</f>
        <v>4962</v>
      </c>
      <c r="E41" s="119">
        <f>SUBTOTAL(109,Tabela2689[ABR])</f>
        <v>5825</v>
      </c>
      <c r="F41" s="119">
        <f>SUBTOTAL(109,Tabela2689[MAI])</f>
        <v>6838</v>
      </c>
      <c r="G41" s="119">
        <f>SUBTOTAL(109,Tabela2689[JUN])</f>
        <v>6074</v>
      </c>
      <c r="H41" s="119">
        <f>SUBTOTAL(109,Tabela2689[JUL])</f>
        <v>4600</v>
      </c>
      <c r="I41" s="119">
        <f>SUBTOTAL(109,Tabela2689[AGO])</f>
        <v>5403</v>
      </c>
      <c r="J41" s="119">
        <f>SUBTOTAL(109,Tabela2689[SET])</f>
        <v>6014</v>
      </c>
      <c r="K41" s="119">
        <f>SUBTOTAL(109,Tabela2689[OUT])</f>
        <v>5376</v>
      </c>
      <c r="L41" s="119">
        <f>SUBTOTAL(109,Tabela2689[NOV])</f>
        <v>0</v>
      </c>
      <c r="M41" s="119">
        <f>SUBTOTAL(109,Tabela2689[DEZ])</f>
        <v>0</v>
      </c>
      <c r="N41" s="120">
        <f>SUBTOTAL(109,Tabela2689[2019])</f>
        <v>55232</v>
      </c>
      <c r="O41" s="122"/>
    </row>
    <row r="42" spans="1:15" x14ac:dyDescent="0.2">
      <c r="A42" s="193" t="s">
        <v>345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</row>
    <row r="43" spans="1:15" x14ac:dyDescent="0.2">
      <c r="A43" s="1" t="s">
        <v>342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2" t="s">
        <v>241</v>
      </c>
      <c r="O43" s="2" t="s">
        <v>244</v>
      </c>
    </row>
    <row r="44" spans="1:15" x14ac:dyDescent="0.2">
      <c r="A44" s="1" t="s">
        <v>354</v>
      </c>
      <c r="B44" s="9">
        <v>6335</v>
      </c>
      <c r="C44" s="9">
        <v>5814</v>
      </c>
      <c r="D44" s="9">
        <v>6328</v>
      </c>
      <c r="E44" s="9">
        <v>6161</v>
      </c>
      <c r="F44" s="9">
        <v>6718</v>
      </c>
      <c r="G44" s="9">
        <v>5953</v>
      </c>
      <c r="H44" s="9">
        <v>5829</v>
      </c>
      <c r="I44" s="9">
        <v>5780</v>
      </c>
      <c r="J44" s="9">
        <v>6498</v>
      </c>
      <c r="K44" s="9">
        <v>6532</v>
      </c>
      <c r="L44" s="9"/>
      <c r="M44" s="9"/>
      <c r="N44" s="14">
        <f>SUM(Tabela268910[[#This Row],[JAN]:[DEZ]])</f>
        <v>61948</v>
      </c>
      <c r="O44" s="134">
        <f>Tabela268910[[#This Row],[2019]]/Tabela268910[[#Totals],[2019]]</f>
        <v>0.91827870918011889</v>
      </c>
    </row>
    <row r="45" spans="1:15" x14ac:dyDescent="0.2">
      <c r="A45" s="1" t="s">
        <v>355</v>
      </c>
      <c r="B45" s="9">
        <v>14</v>
      </c>
      <c r="C45" s="9">
        <v>0</v>
      </c>
      <c r="D45" s="9">
        <v>164</v>
      </c>
      <c r="E45" s="9">
        <v>376</v>
      </c>
      <c r="F45" s="9">
        <v>461</v>
      </c>
      <c r="G45" s="9">
        <v>367</v>
      </c>
      <c r="H45" s="9">
        <v>65</v>
      </c>
      <c r="I45" s="9">
        <v>69</v>
      </c>
      <c r="J45" s="9">
        <v>293</v>
      </c>
      <c r="K45" s="9">
        <v>241</v>
      </c>
      <c r="L45" s="9"/>
      <c r="M45" s="9"/>
      <c r="N45" s="14">
        <f>SUM(Tabela268910[[#This Row],[JAN]:[DEZ]])</f>
        <v>2050</v>
      </c>
      <c r="O45" s="134">
        <f>Tabela268910[[#This Row],[2019]]/Tabela268910[[#Totals],[2019]]</f>
        <v>3.0387927839788914E-2</v>
      </c>
    </row>
    <row r="46" spans="1:15" x14ac:dyDescent="0.2">
      <c r="A46" s="1" t="s">
        <v>356</v>
      </c>
      <c r="B46" s="9">
        <v>381</v>
      </c>
      <c r="C46" s="9">
        <v>260</v>
      </c>
      <c r="D46" s="9">
        <v>358</v>
      </c>
      <c r="E46" s="9">
        <v>281</v>
      </c>
      <c r="F46" s="9">
        <v>232</v>
      </c>
      <c r="G46" s="9">
        <v>273</v>
      </c>
      <c r="H46" s="9">
        <v>480</v>
      </c>
      <c r="I46" s="9">
        <v>367</v>
      </c>
      <c r="J46" s="9">
        <v>365</v>
      </c>
      <c r="K46" s="9">
        <v>231</v>
      </c>
      <c r="L46" s="9"/>
      <c r="M46" s="9"/>
      <c r="N46" s="14">
        <f>SUM(Tabela268910[[#This Row],[JAN]:[DEZ]])</f>
        <v>3228</v>
      </c>
      <c r="O46" s="134">
        <f>Tabela268910[[#This Row],[2019]]/Tabela268910[[#Totals],[2019]]</f>
        <v>4.7849868813092007E-2</v>
      </c>
    </row>
    <row r="47" spans="1:15" x14ac:dyDescent="0.2">
      <c r="A47" s="1" t="s">
        <v>357</v>
      </c>
      <c r="B47" s="9">
        <v>0</v>
      </c>
      <c r="C47" s="9">
        <v>0</v>
      </c>
      <c r="D47" s="9">
        <v>11</v>
      </c>
      <c r="E47" s="9">
        <v>39</v>
      </c>
      <c r="F47" s="9">
        <v>29</v>
      </c>
      <c r="G47" s="9">
        <v>0</v>
      </c>
      <c r="H47" s="9">
        <v>0</v>
      </c>
      <c r="I47" s="9">
        <v>64</v>
      </c>
      <c r="J47" s="9">
        <v>59</v>
      </c>
      <c r="K47" s="9">
        <v>33</v>
      </c>
      <c r="L47" s="9"/>
      <c r="M47" s="9"/>
      <c r="N47" s="14">
        <f>SUM(Tabela268910[[#This Row],[JAN]:[DEZ]])</f>
        <v>235</v>
      </c>
      <c r="O47" s="134">
        <f>Tabela268910[[#This Row],[2019]]/Tabela268910[[#Totals],[2019]]</f>
        <v>3.4834941670001925E-3</v>
      </c>
    </row>
    <row r="48" spans="1:15" x14ac:dyDescent="0.2">
      <c r="A48" s="118"/>
      <c r="B48" s="119">
        <f>SUBTOTAL(109,Tabela268910[JAN])</f>
        <v>6730</v>
      </c>
      <c r="C48" s="119">
        <f>SUBTOTAL(109,Tabela268910[FEV])</f>
        <v>6074</v>
      </c>
      <c r="D48" s="119">
        <f>SUBTOTAL(109,Tabela268910[MAR])</f>
        <v>6861</v>
      </c>
      <c r="E48" s="119">
        <f>SUBTOTAL(109,Tabela268910[ABR])</f>
        <v>6857</v>
      </c>
      <c r="F48" s="119">
        <f>SUBTOTAL(109,Tabela268910[MAI])</f>
        <v>7440</v>
      </c>
      <c r="G48" s="119">
        <f>SUBTOTAL(109,Tabela268910[JUN])</f>
        <v>6593</v>
      </c>
      <c r="H48" s="119">
        <f>SUBTOTAL(109,Tabela268910[JUL])</f>
        <v>6374</v>
      </c>
      <c r="I48" s="119">
        <f>SUBTOTAL(109,Tabela268910[AGO])</f>
        <v>6280</v>
      </c>
      <c r="J48" s="119">
        <f>SUBTOTAL(109,Tabela268910[SET])</f>
        <v>7215</v>
      </c>
      <c r="K48" s="119">
        <f>SUBTOTAL(109,Tabela268910[OUT])</f>
        <v>7037</v>
      </c>
      <c r="L48" s="119">
        <f>SUBTOTAL(109,Tabela268910[NOV])</f>
        <v>0</v>
      </c>
      <c r="M48" s="119">
        <f>SUBTOTAL(109,Tabela268910[DEZ])</f>
        <v>0</v>
      </c>
      <c r="N48" s="120">
        <f>SUBTOTAL(109,Tabela268910[2019])</f>
        <v>67461</v>
      </c>
      <c r="O48" s="122"/>
    </row>
    <row r="49" spans="1:15" x14ac:dyDescent="0.2">
      <c r="A49" s="193" t="s">
        <v>346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</row>
    <row r="50" spans="1:15" x14ac:dyDescent="0.2">
      <c r="A50" s="1" t="s">
        <v>342</v>
      </c>
      <c r="B50" s="1" t="s">
        <v>1</v>
      </c>
      <c r="C50" s="1" t="s">
        <v>2</v>
      </c>
      <c r="D50" s="1" t="s">
        <v>3</v>
      </c>
      <c r="E50" s="1" t="s">
        <v>4</v>
      </c>
      <c r="F50" s="1" t="s">
        <v>5</v>
      </c>
      <c r="G50" s="1" t="s">
        <v>6</v>
      </c>
      <c r="H50" s="1" t="s">
        <v>7</v>
      </c>
      <c r="I50" s="1" t="s">
        <v>8</v>
      </c>
      <c r="J50" s="1" t="s">
        <v>9</v>
      </c>
      <c r="K50" s="1" t="s">
        <v>10</v>
      </c>
      <c r="L50" s="1" t="s">
        <v>11</v>
      </c>
      <c r="M50" s="1" t="s">
        <v>12</v>
      </c>
      <c r="N50" s="2" t="s">
        <v>241</v>
      </c>
      <c r="O50" s="2" t="s">
        <v>244</v>
      </c>
    </row>
    <row r="51" spans="1:15" x14ac:dyDescent="0.2">
      <c r="A51" s="1" t="s">
        <v>358</v>
      </c>
      <c r="B51" s="9">
        <v>1167</v>
      </c>
      <c r="C51" s="9">
        <v>1027</v>
      </c>
      <c r="D51" s="9">
        <v>993</v>
      </c>
      <c r="E51" s="9">
        <v>1062</v>
      </c>
      <c r="F51" s="9">
        <v>959</v>
      </c>
      <c r="G51" s="9">
        <v>777</v>
      </c>
      <c r="H51" s="9">
        <v>1170</v>
      </c>
      <c r="I51" s="9">
        <v>946</v>
      </c>
      <c r="J51" s="9">
        <v>977</v>
      </c>
      <c r="K51" s="9">
        <v>820</v>
      </c>
      <c r="L51" s="9"/>
      <c r="M51" s="9"/>
      <c r="N51" s="14">
        <f>SUM(Tabela268911[[#This Row],[JAN]:[DEZ]])</f>
        <v>9898</v>
      </c>
      <c r="O51" s="134">
        <f>Tabela268911[[#This Row],[2019]]/Tabela268911[[#Totals],[2019]]</f>
        <v>0.93757696315241068</v>
      </c>
    </row>
    <row r="52" spans="1:15" x14ac:dyDescent="0.2">
      <c r="A52" s="1" t="s">
        <v>359</v>
      </c>
      <c r="B52" s="9">
        <v>0</v>
      </c>
      <c r="C52" s="9">
        <v>75</v>
      </c>
      <c r="D52" s="9">
        <v>77</v>
      </c>
      <c r="E52" s="9">
        <v>46</v>
      </c>
      <c r="F52" s="9">
        <v>0</v>
      </c>
      <c r="G52" s="9">
        <v>39</v>
      </c>
      <c r="H52" s="9">
        <v>77</v>
      </c>
      <c r="I52" s="9">
        <v>81</v>
      </c>
      <c r="J52" s="9">
        <v>61</v>
      </c>
      <c r="K52" s="9">
        <v>71</v>
      </c>
      <c r="L52" s="9"/>
      <c r="M52" s="9"/>
      <c r="N52" s="14">
        <f>SUM(Tabela268911[[#This Row],[JAN]:[DEZ]])</f>
        <v>527</v>
      </c>
      <c r="O52" s="134">
        <f>Tabela268911[[#This Row],[2019]]/Tabela268911[[#Totals],[2019]]</f>
        <v>4.9919484702093397E-2</v>
      </c>
    </row>
    <row r="53" spans="1:15" x14ac:dyDescent="0.2">
      <c r="A53" s="1" t="s">
        <v>360</v>
      </c>
      <c r="B53" s="9">
        <v>23</v>
      </c>
      <c r="C53" s="9">
        <v>10</v>
      </c>
      <c r="D53" s="9">
        <v>8</v>
      </c>
      <c r="E53" s="9">
        <v>19</v>
      </c>
      <c r="F53" s="9">
        <v>6</v>
      </c>
      <c r="G53" s="9">
        <v>15</v>
      </c>
      <c r="H53" s="9">
        <v>13</v>
      </c>
      <c r="I53" s="9">
        <v>4</v>
      </c>
      <c r="J53" s="9">
        <v>23</v>
      </c>
      <c r="K53" s="9">
        <v>11</v>
      </c>
      <c r="L53" s="9"/>
      <c r="M53" s="9"/>
      <c r="N53" s="14">
        <f>SUM(Tabela268911[[#This Row],[JAN]:[DEZ]])</f>
        <v>132</v>
      </c>
      <c r="O53" s="134">
        <f>Tabela268911[[#This Row],[2019]]/Tabela268911[[#Totals],[2019]]</f>
        <v>1.250355214549588E-2</v>
      </c>
    </row>
    <row r="54" spans="1:15" ht="12" thickBot="1" x14ac:dyDescent="0.25">
      <c r="A54" s="118"/>
      <c r="B54" s="119">
        <f>SUBTOTAL(109,Tabela268911[JAN])</f>
        <v>1190</v>
      </c>
      <c r="C54" s="119">
        <f>SUBTOTAL(109,Tabela268911[FEV])</f>
        <v>1112</v>
      </c>
      <c r="D54" s="119">
        <f>SUBTOTAL(109,Tabela268911[MAR])</f>
        <v>1078</v>
      </c>
      <c r="E54" s="119">
        <f>SUBTOTAL(109,Tabela268911[ABR])</f>
        <v>1127</v>
      </c>
      <c r="F54" s="119">
        <f>SUBTOTAL(109,Tabela268911[MAI])</f>
        <v>965</v>
      </c>
      <c r="G54" s="119">
        <f>SUBTOTAL(109,Tabela268911[JUN])</f>
        <v>831</v>
      </c>
      <c r="H54" s="119">
        <f>SUBTOTAL(109,Tabela268911[JUL])</f>
        <v>1260</v>
      </c>
      <c r="I54" s="119">
        <f>SUBTOTAL(109,Tabela268911[AGO])</f>
        <v>1031</v>
      </c>
      <c r="J54" s="119">
        <f>SUBTOTAL(109,Tabela268911[SET])</f>
        <v>1061</v>
      </c>
      <c r="K54" s="119">
        <f>SUBTOTAL(109,Tabela268911[OUT])</f>
        <v>902</v>
      </c>
      <c r="L54" s="119">
        <f>SUBTOTAL(109,Tabela268911[NOV])</f>
        <v>0</v>
      </c>
      <c r="M54" s="119">
        <f>SUBTOTAL(109,Tabela268911[DEZ])</f>
        <v>0</v>
      </c>
      <c r="N54" s="120">
        <f>SUBTOTAL(109,Tabela268911[2019])</f>
        <v>10557</v>
      </c>
      <c r="O54" s="122"/>
    </row>
    <row r="55" spans="1:15" ht="16.5" thickTop="1" x14ac:dyDescent="0.2">
      <c r="A55" s="195" t="s">
        <v>385</v>
      </c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</row>
    <row r="56" spans="1:15" x14ac:dyDescent="0.2">
      <c r="A56" s="193" t="s">
        <v>343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</row>
    <row r="57" spans="1:15" x14ac:dyDescent="0.2">
      <c r="A57" s="1" t="s">
        <v>342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1" t="s">
        <v>6</v>
      </c>
      <c r="H57" s="1" t="s">
        <v>7</v>
      </c>
      <c r="I57" s="1" t="s">
        <v>8</v>
      </c>
      <c r="J57" s="1" t="s">
        <v>9</v>
      </c>
      <c r="K57" s="1" t="s">
        <v>10</v>
      </c>
      <c r="L57" s="1" t="s">
        <v>11</v>
      </c>
      <c r="M57" s="1" t="s">
        <v>12</v>
      </c>
      <c r="N57" s="2" t="s">
        <v>241</v>
      </c>
      <c r="O57" s="2" t="s">
        <v>244</v>
      </c>
    </row>
    <row r="58" spans="1:15" x14ac:dyDescent="0.2">
      <c r="A58" s="1" t="s">
        <v>347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/>
      <c r="M58" s="16"/>
      <c r="N58" s="17">
        <f>SUM(Tabela26812[[#This Row],[JAN]:[DEZ]])</f>
        <v>0</v>
      </c>
      <c r="O58" s="134" t="e">
        <f>Tabela26812[[#This Row],[2019]]/Tabela26812[[#Totals],[2019]]</f>
        <v>#DIV/0!</v>
      </c>
    </row>
    <row r="59" spans="1:15" x14ac:dyDescent="0.2">
      <c r="A59" s="118"/>
      <c r="B59" s="130">
        <f>SUBTOTAL(109,Tabela26812[JAN])</f>
        <v>0</v>
      </c>
      <c r="C59" s="130">
        <f>SUBTOTAL(109,Tabela26812[FEV])</f>
        <v>0</v>
      </c>
      <c r="D59" s="130">
        <f>SUBTOTAL(109,Tabela26812[MAR])</f>
        <v>0</v>
      </c>
      <c r="E59" s="130">
        <f>SUBTOTAL(109,Tabela26812[ABR])</f>
        <v>0</v>
      </c>
      <c r="F59" s="130">
        <f>SUBTOTAL(109,Tabela26812[MAI])</f>
        <v>0</v>
      </c>
      <c r="G59" s="130">
        <f>SUBTOTAL(109,Tabela26812[JUN])</f>
        <v>0</v>
      </c>
      <c r="H59" s="130">
        <f>SUBTOTAL(109,Tabela26812[JUL])</f>
        <v>0</v>
      </c>
      <c r="I59" s="130">
        <f>SUBTOTAL(109,Tabela26812[AGO])</f>
        <v>0</v>
      </c>
      <c r="J59" s="130">
        <f>SUBTOTAL(109,Tabela26812[SET])</f>
        <v>0</v>
      </c>
      <c r="K59" s="130">
        <f>SUBTOTAL(109,Tabela26812[OUT])</f>
        <v>0</v>
      </c>
      <c r="L59" s="130">
        <f>SUBTOTAL(109,Tabela26812[NOV])</f>
        <v>0</v>
      </c>
      <c r="M59" s="130">
        <f>SUBTOTAL(109,Tabela26812[DEZ])</f>
        <v>0</v>
      </c>
      <c r="N59" s="135">
        <f>SUBTOTAL(109,Tabela26812[2019])</f>
        <v>0</v>
      </c>
      <c r="O59" s="122"/>
    </row>
    <row r="60" spans="1:15" x14ac:dyDescent="0.2">
      <c r="A60" s="193" t="s">
        <v>344</v>
      </c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</row>
    <row r="61" spans="1:15" x14ac:dyDescent="0.2">
      <c r="A61" s="1" t="s">
        <v>342</v>
      </c>
      <c r="B61" s="1" t="s">
        <v>1</v>
      </c>
      <c r="C61" s="1" t="s">
        <v>2</v>
      </c>
      <c r="D61" s="1" t="s">
        <v>3</v>
      </c>
      <c r="E61" s="1" t="s">
        <v>4</v>
      </c>
      <c r="F61" s="1" t="s">
        <v>5</v>
      </c>
      <c r="G61" s="1" t="s">
        <v>6</v>
      </c>
      <c r="H61" s="1" t="s">
        <v>7</v>
      </c>
      <c r="I61" s="1" t="s">
        <v>8</v>
      </c>
      <c r="J61" s="1" t="s">
        <v>9</v>
      </c>
      <c r="K61" s="1" t="s">
        <v>10</v>
      </c>
      <c r="L61" s="1" t="s">
        <v>11</v>
      </c>
      <c r="M61" s="1" t="s">
        <v>12</v>
      </c>
      <c r="N61" s="2" t="s">
        <v>241</v>
      </c>
      <c r="O61" s="2" t="s">
        <v>244</v>
      </c>
    </row>
    <row r="62" spans="1:15" x14ac:dyDescent="0.2">
      <c r="A62" s="1" t="s">
        <v>348</v>
      </c>
      <c r="B62" s="16">
        <v>0</v>
      </c>
      <c r="C62" s="16">
        <v>14.08</v>
      </c>
      <c r="D62" s="16">
        <v>119.79999999999998</v>
      </c>
      <c r="E62" s="16">
        <v>98.679999999999993</v>
      </c>
      <c r="F62" s="16">
        <v>28.18</v>
      </c>
      <c r="G62" s="16">
        <v>105.74</v>
      </c>
      <c r="H62" s="16">
        <v>91.6</v>
      </c>
      <c r="I62" s="16">
        <v>105.74</v>
      </c>
      <c r="J62" s="16">
        <v>319.76</v>
      </c>
      <c r="K62" s="16">
        <v>28.2</v>
      </c>
      <c r="L62" s="16"/>
      <c r="M62" s="16"/>
      <c r="N62" s="17">
        <f>SUM(Tabela268913[[#This Row],[JAN]:[DEZ]])</f>
        <v>911.78000000000009</v>
      </c>
      <c r="O62" s="134">
        <f>Tabela268913[[#This Row],[2019]]/Tabela268913[[#Totals],[2019]]</f>
        <v>6.7384755000676278E-4</v>
      </c>
    </row>
    <row r="63" spans="1:15" x14ac:dyDescent="0.2">
      <c r="A63" s="1" t="s">
        <v>349</v>
      </c>
      <c r="B63" s="16">
        <v>3646.67</v>
      </c>
      <c r="C63" s="16">
        <v>3731.76</v>
      </c>
      <c r="D63" s="16">
        <v>3455.8400000000011</v>
      </c>
      <c r="E63" s="16">
        <v>3012.2400000000007</v>
      </c>
      <c r="F63" s="16">
        <v>4318.9800000000005</v>
      </c>
      <c r="G63" s="16">
        <v>4316.8499999999995</v>
      </c>
      <c r="H63" s="16">
        <v>3627</v>
      </c>
      <c r="I63" s="16">
        <v>3374.1200000000003</v>
      </c>
      <c r="J63" s="16">
        <v>5803.6800000000021</v>
      </c>
      <c r="K63" s="16">
        <v>4212.6799999999994</v>
      </c>
      <c r="L63" s="16"/>
      <c r="M63" s="16"/>
      <c r="N63" s="17">
        <f>SUM(Tabela268913[[#This Row],[JAN]:[DEZ]])</f>
        <v>39499.82</v>
      </c>
      <c r="O63" s="134">
        <f>Tabela268913[[#This Row],[2019]]/Tabela268913[[#Totals],[2019]]</f>
        <v>2.9192192121682999E-2</v>
      </c>
    </row>
    <row r="64" spans="1:15" x14ac:dyDescent="0.2">
      <c r="A64" s="1" t="s">
        <v>350</v>
      </c>
      <c r="B64" s="16">
        <v>20553.349999999999</v>
      </c>
      <c r="C64" s="16">
        <v>18648.689999999999</v>
      </c>
      <c r="D64" s="16">
        <v>17179.899999999998</v>
      </c>
      <c r="E64" s="16">
        <v>22775.070000000007</v>
      </c>
      <c r="F64" s="16">
        <v>24324.979999999996</v>
      </c>
      <c r="G64" s="16">
        <v>21322.459999999995</v>
      </c>
      <c r="H64" s="16">
        <v>17827.27</v>
      </c>
      <c r="I64" s="16">
        <v>19236.97</v>
      </c>
      <c r="J64" s="16">
        <v>19288.16</v>
      </c>
      <c r="K64" s="16">
        <v>18216.189999999999</v>
      </c>
      <c r="L64" s="16"/>
      <c r="M64" s="16"/>
      <c r="N64" s="17">
        <f>SUM(Tabela268913[[#This Row],[JAN]:[DEZ]])</f>
        <v>199373.03999999998</v>
      </c>
      <c r="O64" s="134">
        <f>Tabela268913[[#This Row],[2019]]/Tabela268913[[#Totals],[2019]]</f>
        <v>0.14734588885630337</v>
      </c>
    </row>
    <row r="65" spans="1:15" x14ac:dyDescent="0.2">
      <c r="A65" s="1" t="s">
        <v>351</v>
      </c>
      <c r="B65" s="16">
        <v>5922.8899999999903</v>
      </c>
      <c r="C65" s="16">
        <v>1612.170000000001</v>
      </c>
      <c r="D65" s="16">
        <v>7337.3999999999796</v>
      </c>
      <c r="E65" s="16">
        <v>14736.43000000006</v>
      </c>
      <c r="F65" s="16">
        <v>15477.410000000084</v>
      </c>
      <c r="G65" s="16">
        <v>12202.250000000027</v>
      </c>
      <c r="H65" s="16">
        <v>1737.7900000000006</v>
      </c>
      <c r="I65" s="16">
        <v>8936.4399999999932</v>
      </c>
      <c r="J65" s="16">
        <v>12286.530000000032</v>
      </c>
      <c r="K65" s="16">
        <v>2574.2999999999997</v>
      </c>
      <c r="L65" s="16"/>
      <c r="M65" s="16"/>
      <c r="N65" s="17">
        <f>SUM(Tabela268913[[#This Row],[JAN]:[DEZ]])</f>
        <v>82823.610000000161</v>
      </c>
      <c r="O65" s="134">
        <f>Tabela268913[[#This Row],[2019]]/Tabela268913[[#Totals],[2019]]</f>
        <v>6.1210474764982474E-2</v>
      </c>
    </row>
    <row r="66" spans="1:15" x14ac:dyDescent="0.2">
      <c r="A66" s="1" t="s">
        <v>352</v>
      </c>
      <c r="B66" s="16">
        <v>93561.900000000562</v>
      </c>
      <c r="C66" s="16">
        <v>47923.230000000061</v>
      </c>
      <c r="D66" s="16">
        <v>108158.42000000096</v>
      </c>
      <c r="E66" s="16">
        <v>113776.74000000124</v>
      </c>
      <c r="F66" s="16">
        <v>123871.52000000136</v>
      </c>
      <c r="G66" s="16">
        <v>115049.71000000103</v>
      </c>
      <c r="H66" s="16">
        <v>85905.720000000641</v>
      </c>
      <c r="I66" s="16">
        <v>101404.10000000072</v>
      </c>
      <c r="J66" s="16">
        <v>114999.89000000111</v>
      </c>
      <c r="K66" s="16">
        <v>101899.07000000082</v>
      </c>
      <c r="L66" s="16"/>
      <c r="M66" s="16"/>
      <c r="N66" s="17">
        <f>SUM(Tabela268913[[#This Row],[JAN]:[DEZ]])</f>
        <v>1006550.3000000084</v>
      </c>
      <c r="O66" s="134">
        <f>Tabela268913[[#This Row],[2019]]/Tabela268913[[#Totals],[2019]]</f>
        <v>0.74388718069444137</v>
      </c>
    </row>
    <row r="67" spans="1:15" x14ac:dyDescent="0.2">
      <c r="A67" s="1" t="s">
        <v>353</v>
      </c>
      <c r="B67" s="16">
        <v>1390.5</v>
      </c>
      <c r="C67" s="16">
        <v>3337.2</v>
      </c>
      <c r="D67" s="16">
        <v>1606.8</v>
      </c>
      <c r="E67" s="16">
        <v>1570.75</v>
      </c>
      <c r="F67" s="16">
        <v>3542.66</v>
      </c>
      <c r="G67" s="16">
        <v>2841.95</v>
      </c>
      <c r="H67" s="16">
        <v>847.5</v>
      </c>
      <c r="I67" s="16">
        <v>2152.6999999999998</v>
      </c>
      <c r="J67" s="16">
        <v>2369.5500000000002</v>
      </c>
      <c r="K67" s="16">
        <v>4277.21</v>
      </c>
      <c r="L67" s="16"/>
      <c r="M67" s="16"/>
      <c r="N67" s="17">
        <f>SUM(Tabela268913[[#This Row],[JAN]:[DEZ]])</f>
        <v>23936.82</v>
      </c>
      <c r="O67" s="134">
        <f>Tabela268913[[#This Row],[2019]]/Tabela268913[[#Totals],[2019]]</f>
        <v>1.7690416012582946E-2</v>
      </c>
    </row>
    <row r="68" spans="1:15" x14ac:dyDescent="0.2">
      <c r="A68" s="118"/>
      <c r="B68" s="130">
        <f>SUBTOTAL(109,Tabela268913[JAN])</f>
        <v>125075.31000000055</v>
      </c>
      <c r="C68" s="130">
        <f>SUBTOTAL(109,Tabela268913[FEV])</f>
        <v>75267.130000000063</v>
      </c>
      <c r="D68" s="130">
        <f>SUBTOTAL(109,Tabela268913[MAR])</f>
        <v>137858.16000000093</v>
      </c>
      <c r="E68" s="130">
        <f>SUBTOTAL(109,Tabela268913[ABR])</f>
        <v>155969.91000000131</v>
      </c>
      <c r="F68" s="130">
        <f>SUBTOTAL(109,Tabela268913[MAI])</f>
        <v>171563.73000000144</v>
      </c>
      <c r="G68" s="130">
        <f>SUBTOTAL(109,Tabela268913[JUN])</f>
        <v>155838.96000000107</v>
      </c>
      <c r="H68" s="130">
        <f>SUBTOTAL(109,Tabela268913[JUL])</f>
        <v>110036.88000000064</v>
      </c>
      <c r="I68" s="130">
        <f>SUBTOTAL(109,Tabela268913[AGO])</f>
        <v>135210.07000000073</v>
      </c>
      <c r="J68" s="130">
        <f>SUBTOTAL(109,Tabela268913[SET])</f>
        <v>155067.57000000111</v>
      </c>
      <c r="K68" s="130">
        <f>SUBTOTAL(109,Tabela268913[OUT])</f>
        <v>131207.65000000081</v>
      </c>
      <c r="L68" s="130">
        <f>SUBTOTAL(109,Tabela268913[NOV])</f>
        <v>0</v>
      </c>
      <c r="M68" s="130">
        <f>SUBTOTAL(109,Tabela268913[DEZ])</f>
        <v>0</v>
      </c>
      <c r="N68" s="135">
        <f>SUBTOTAL(109,Tabela268913[2019])</f>
        <v>1353095.3700000087</v>
      </c>
      <c r="O68" s="122"/>
    </row>
    <row r="69" spans="1:15" x14ac:dyDescent="0.2">
      <c r="A69" s="193" t="s">
        <v>345</v>
      </c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</row>
    <row r="70" spans="1:15" x14ac:dyDescent="0.2">
      <c r="A70" s="1" t="s">
        <v>342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1" t="s">
        <v>6</v>
      </c>
      <c r="H70" s="1" t="s">
        <v>7</v>
      </c>
      <c r="I70" s="1" t="s">
        <v>8</v>
      </c>
      <c r="J70" s="1" t="s">
        <v>9</v>
      </c>
      <c r="K70" s="1" t="s">
        <v>10</v>
      </c>
      <c r="L70" s="1" t="s">
        <v>11</v>
      </c>
      <c r="M70" s="1" t="s">
        <v>12</v>
      </c>
      <c r="N70" s="2" t="s">
        <v>241</v>
      </c>
      <c r="O70" s="2" t="s">
        <v>244</v>
      </c>
    </row>
    <row r="71" spans="1:15" x14ac:dyDescent="0.2">
      <c r="A71" s="1" t="s">
        <v>354</v>
      </c>
      <c r="B71" s="16">
        <v>51232.430000000015</v>
      </c>
      <c r="C71" s="16">
        <v>48547.950000000012</v>
      </c>
      <c r="D71" s="16">
        <v>51692.130000000107</v>
      </c>
      <c r="E71" s="16">
        <v>53888.240000000042</v>
      </c>
      <c r="F71" s="16">
        <v>57309.650000000009</v>
      </c>
      <c r="G71" s="16">
        <v>50934.610000000008</v>
      </c>
      <c r="H71" s="16">
        <v>48685.340000000004</v>
      </c>
      <c r="I71" s="16">
        <v>48886.180000000008</v>
      </c>
      <c r="J71" s="16">
        <v>53417.37</v>
      </c>
      <c r="K71" s="16">
        <v>52894.440000000031</v>
      </c>
      <c r="L71" s="16"/>
      <c r="M71" s="16"/>
      <c r="N71" s="17">
        <f>SUM(Tabela26891014[[#This Row],[JAN]:[DEZ]])</f>
        <v>517488.3400000002</v>
      </c>
      <c r="O71" s="134">
        <f>Tabela26891014[[#This Row],[2019]]/Tabela26891014[[#Totals],[2019]]</f>
        <v>0.78050989545200156</v>
      </c>
    </row>
    <row r="72" spans="1:15" x14ac:dyDescent="0.2">
      <c r="A72" s="1" t="s">
        <v>355</v>
      </c>
      <c r="B72" s="16">
        <v>70.420000000000016</v>
      </c>
      <c r="C72" s="16">
        <v>0</v>
      </c>
      <c r="D72" s="16">
        <v>942.28000000000077</v>
      </c>
      <c r="E72" s="16">
        <v>2093.5999999999981</v>
      </c>
      <c r="F72" s="16">
        <v>2497.2699999999982</v>
      </c>
      <c r="G72" s="16">
        <v>2036.4499999999953</v>
      </c>
      <c r="H72" s="16">
        <v>347.23000000000008</v>
      </c>
      <c r="I72" s="16">
        <v>384.39000000000021</v>
      </c>
      <c r="J72" s="16">
        <v>1658.9499999999982</v>
      </c>
      <c r="K72" s="16">
        <v>1400.989999999998</v>
      </c>
      <c r="L72" s="16"/>
      <c r="M72" s="16"/>
      <c r="N72" s="17">
        <f>SUM(Tabela26891014[[#This Row],[JAN]:[DEZ]])</f>
        <v>11431.579999999989</v>
      </c>
      <c r="O72" s="134">
        <f>Tabela26891014[[#This Row],[2019]]/Tabela26891014[[#Totals],[2019]]</f>
        <v>1.7241859614945489E-2</v>
      </c>
    </row>
    <row r="73" spans="1:15" x14ac:dyDescent="0.2">
      <c r="A73" s="1" t="s">
        <v>356</v>
      </c>
      <c r="B73" s="16">
        <v>15832.579999999998</v>
      </c>
      <c r="C73" s="16">
        <v>10769.15</v>
      </c>
      <c r="D73" s="16">
        <v>14846.14</v>
      </c>
      <c r="E73" s="16">
        <v>11604.380000000001</v>
      </c>
      <c r="F73" s="16">
        <v>9602.7100000000009</v>
      </c>
      <c r="G73" s="16">
        <v>11292.01</v>
      </c>
      <c r="H73" s="16">
        <v>19947.7</v>
      </c>
      <c r="I73" s="16">
        <v>15217.47</v>
      </c>
      <c r="J73" s="16">
        <v>15150.05</v>
      </c>
      <c r="K73" s="16">
        <v>9570.49</v>
      </c>
      <c r="L73" s="16"/>
      <c r="M73" s="16"/>
      <c r="N73" s="17">
        <f>SUM(Tabela26891014[[#This Row],[JAN]:[DEZ]])</f>
        <v>133832.68</v>
      </c>
      <c r="O73" s="134">
        <f>Tabela26891014[[#This Row],[2019]]/Tabela26891014[[#Totals],[2019]]</f>
        <v>0.2018552361486273</v>
      </c>
    </row>
    <row r="74" spans="1:15" x14ac:dyDescent="0.2">
      <c r="A74" s="1" t="s">
        <v>357</v>
      </c>
      <c r="B74" s="16">
        <v>0</v>
      </c>
      <c r="C74" s="16">
        <v>0</v>
      </c>
      <c r="D74" s="16">
        <v>0</v>
      </c>
      <c r="E74" s="16">
        <v>18.350000000000001</v>
      </c>
      <c r="F74" s="16">
        <v>0</v>
      </c>
      <c r="G74" s="16">
        <v>0</v>
      </c>
      <c r="H74" s="16">
        <v>0</v>
      </c>
      <c r="I74" s="16">
        <v>110.10000000000004</v>
      </c>
      <c r="J74" s="16">
        <v>99.090000000000032</v>
      </c>
      <c r="K74" s="16">
        <v>33.03</v>
      </c>
      <c r="L74" s="16"/>
      <c r="M74" s="16"/>
      <c r="N74" s="17">
        <f>SUM(Tabela26891014[[#This Row],[JAN]:[DEZ]])</f>
        <v>260.57000000000005</v>
      </c>
      <c r="O74" s="134">
        <f>Tabela26891014[[#This Row],[2019]]/Tabela26891014[[#Totals],[2019]]</f>
        <v>3.9300878442580564E-4</v>
      </c>
    </row>
    <row r="75" spans="1:15" x14ac:dyDescent="0.2">
      <c r="A75" s="118"/>
      <c r="B75" s="130">
        <f>SUBTOTAL(109,Tabela26891014[JAN])</f>
        <v>67135.430000000008</v>
      </c>
      <c r="C75" s="130">
        <f>SUBTOTAL(109,Tabela26891014[FEV])</f>
        <v>59317.100000000013</v>
      </c>
      <c r="D75" s="130">
        <f>SUBTOTAL(109,Tabela26891014[MAR])</f>
        <v>67480.550000000105</v>
      </c>
      <c r="E75" s="130">
        <f>SUBTOTAL(109,Tabela26891014[ABR])</f>
        <v>67604.570000000051</v>
      </c>
      <c r="F75" s="130">
        <f>SUBTOTAL(109,Tabela26891014[MAI])</f>
        <v>69409.63</v>
      </c>
      <c r="G75" s="130">
        <f>SUBTOTAL(109,Tabela26891014[JUN])</f>
        <v>64263.070000000007</v>
      </c>
      <c r="H75" s="130">
        <f>SUBTOTAL(109,Tabela26891014[JUL])</f>
        <v>68980.27</v>
      </c>
      <c r="I75" s="130">
        <f>SUBTOTAL(109,Tabela26891014[AGO])</f>
        <v>64598.140000000007</v>
      </c>
      <c r="J75" s="130">
        <f>SUBTOTAL(109,Tabela26891014[SET])</f>
        <v>70325.459999999992</v>
      </c>
      <c r="K75" s="130">
        <f>SUBTOTAL(109,Tabela26891014[OUT])</f>
        <v>63898.950000000026</v>
      </c>
      <c r="L75" s="130">
        <f>SUBTOTAL(109,Tabela26891014[NOV])</f>
        <v>0</v>
      </c>
      <c r="M75" s="130">
        <f>SUBTOTAL(109,Tabela26891014[DEZ])</f>
        <v>0</v>
      </c>
      <c r="N75" s="135">
        <f>SUBTOTAL(109,Tabela26891014[2019])</f>
        <v>663013.17000000004</v>
      </c>
      <c r="O75" s="122"/>
    </row>
    <row r="76" spans="1:15" x14ac:dyDescent="0.2">
      <c r="A76" s="193" t="s">
        <v>346</v>
      </c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</row>
    <row r="77" spans="1:15" x14ac:dyDescent="0.2">
      <c r="A77" s="1" t="s">
        <v>342</v>
      </c>
      <c r="B77" s="1" t="s">
        <v>1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2" t="s">
        <v>241</v>
      </c>
      <c r="O77" s="2" t="s">
        <v>244</v>
      </c>
    </row>
    <row r="78" spans="1:15" x14ac:dyDescent="0.2">
      <c r="A78" s="1" t="s">
        <v>358</v>
      </c>
      <c r="B78" s="16">
        <v>13605.099999999919</v>
      </c>
      <c r="C78" s="16">
        <v>12668.599999999919</v>
      </c>
      <c r="D78" s="16">
        <v>14449.619999999904</v>
      </c>
      <c r="E78" s="16">
        <v>14052.179999999906</v>
      </c>
      <c r="F78" s="16">
        <v>12938.839999999927</v>
      </c>
      <c r="G78" s="16">
        <v>11853.479999999936</v>
      </c>
      <c r="H78" s="16">
        <v>10897.699999999933</v>
      </c>
      <c r="I78" s="16">
        <v>12360.139999999921</v>
      </c>
      <c r="J78" s="16">
        <v>12717.539999999919</v>
      </c>
      <c r="K78" s="16">
        <v>11427.999999999929</v>
      </c>
      <c r="L78" s="16"/>
      <c r="M78" s="16"/>
      <c r="N78" s="17">
        <f>SUM(Tabela26891115[[#This Row],[JAN]:[DEZ]])</f>
        <v>126971.19999999923</v>
      </c>
      <c r="O78" s="134">
        <f>Tabela26891115[[#This Row],[2019]]/Tabela26891115[[#Totals],[2019]]</f>
        <v>0.85344182434387961</v>
      </c>
    </row>
    <row r="79" spans="1:15" x14ac:dyDescent="0.2">
      <c r="A79" s="1" t="s">
        <v>359</v>
      </c>
      <c r="B79" s="16">
        <v>0</v>
      </c>
      <c r="C79" s="16">
        <v>2402.2300000000014</v>
      </c>
      <c r="D79" s="16">
        <v>2657.7100000000005</v>
      </c>
      <c r="E79" s="16">
        <v>1740.56</v>
      </c>
      <c r="F79" s="16">
        <v>0</v>
      </c>
      <c r="G79" s="16">
        <v>1437.0600000000004</v>
      </c>
      <c r="H79" s="16">
        <v>2467.7100000000014</v>
      </c>
      <c r="I79" s="16">
        <v>2680.6600000000003</v>
      </c>
      <c r="J79" s="16">
        <v>2054.7500000000009</v>
      </c>
      <c r="K79" s="16">
        <v>2422.0600000000018</v>
      </c>
      <c r="L79" s="16"/>
      <c r="M79" s="16"/>
      <c r="N79" s="17">
        <f>SUM(Tabela26891115[[#This Row],[JAN]:[DEZ]])</f>
        <v>17862.740000000005</v>
      </c>
      <c r="O79" s="134">
        <f>Tabela26891115[[#This Row],[2019]]/Tabela26891115[[#Totals],[2019]]</f>
        <v>0.12006509675722123</v>
      </c>
    </row>
    <row r="80" spans="1:15" x14ac:dyDescent="0.2">
      <c r="A80" s="1" t="s">
        <v>360</v>
      </c>
      <c r="B80" s="16">
        <v>686.78</v>
      </c>
      <c r="C80" s="16">
        <v>298.60000000000002</v>
      </c>
      <c r="D80" s="16">
        <v>238.88</v>
      </c>
      <c r="E80" s="16">
        <v>567.34</v>
      </c>
      <c r="F80" s="16">
        <v>179.16</v>
      </c>
      <c r="G80" s="16">
        <v>447.9</v>
      </c>
      <c r="H80" s="16">
        <v>388.18</v>
      </c>
      <c r="I80" s="16">
        <v>119.44</v>
      </c>
      <c r="J80" s="16">
        <v>686.78</v>
      </c>
      <c r="K80" s="16">
        <v>328.46</v>
      </c>
      <c r="L80" s="16"/>
      <c r="M80" s="16"/>
      <c r="N80" s="17">
        <f>SUM(Tabela26891115[[#This Row],[JAN]:[DEZ]])</f>
        <v>3941.5199999999995</v>
      </c>
      <c r="O80" s="134">
        <f>Tabela26891115[[#This Row],[2019]]/Tabela26891115[[#Totals],[2019]]</f>
        <v>2.6493078898899184E-2</v>
      </c>
    </row>
    <row r="81" spans="1:15" x14ac:dyDescent="0.2">
      <c r="A81" s="118"/>
      <c r="B81" s="130">
        <f>SUBTOTAL(109,Tabela26891115[JAN])</f>
        <v>14291.879999999919</v>
      </c>
      <c r="C81" s="130">
        <f>SUBTOTAL(109,Tabela26891115[FEV])</f>
        <v>15369.42999999992</v>
      </c>
      <c r="D81" s="130">
        <f>SUBTOTAL(109,Tabela26891115[MAR])</f>
        <v>17346.209999999905</v>
      </c>
      <c r="E81" s="130">
        <f>SUBTOTAL(109,Tabela26891115[ABR])</f>
        <v>16360.079999999905</v>
      </c>
      <c r="F81" s="130">
        <f>SUBTOTAL(109,Tabela26891115[MAI])</f>
        <v>13117.999999999927</v>
      </c>
      <c r="G81" s="130">
        <f>SUBTOTAL(109,Tabela26891115[JUN])</f>
        <v>13738.439999999935</v>
      </c>
      <c r="H81" s="130">
        <f>SUBTOTAL(109,Tabela26891115[JUL])</f>
        <v>13753.589999999935</v>
      </c>
      <c r="I81" s="130">
        <f>SUBTOTAL(109,Tabela26891115[AGO])</f>
        <v>15160.239999999922</v>
      </c>
      <c r="J81" s="130">
        <f>SUBTOTAL(109,Tabela26891115[SET])</f>
        <v>15459.069999999921</v>
      </c>
      <c r="K81" s="130">
        <f>SUBTOTAL(109,Tabela26891115[OUT])</f>
        <v>14178.519999999929</v>
      </c>
      <c r="L81" s="130">
        <f>SUBTOTAL(109,Tabela26891115[NOV])</f>
        <v>0</v>
      </c>
      <c r="M81" s="130">
        <f>SUBTOTAL(109,Tabela26891115[DEZ])</f>
        <v>0</v>
      </c>
      <c r="N81" s="135">
        <f>SUBTOTAL(109,Tabela26891115[2019])</f>
        <v>148775.45999999924</v>
      </c>
      <c r="O81" s="122"/>
    </row>
  </sheetData>
  <mergeCells count="15">
    <mergeCell ref="A76:O76"/>
    <mergeCell ref="A1:O1"/>
    <mergeCell ref="A2:O2"/>
    <mergeCell ref="A8:O8"/>
    <mergeCell ref="A14:O14"/>
    <mergeCell ref="A21:O21"/>
    <mergeCell ref="A28:O28"/>
    <mergeCell ref="A29:O29"/>
    <mergeCell ref="A33:O33"/>
    <mergeCell ref="A42:O42"/>
    <mergeCell ref="A49:O49"/>
    <mergeCell ref="A55:O55"/>
    <mergeCell ref="A56:O56"/>
    <mergeCell ref="A60:O60"/>
    <mergeCell ref="A69:O69"/>
  </mergeCells>
  <pageMargins left="0.511811024" right="0.511811024" top="0.78740157499999996" bottom="0.78740157499999996" header="0.31496062000000002" footer="0.31496062000000002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FFFF00"/>
  </sheetPr>
  <dimension ref="A1:P95"/>
  <sheetViews>
    <sheetView workbookViewId="0">
      <selection sqref="A1:P1"/>
    </sheetView>
  </sheetViews>
  <sheetFormatPr defaultRowHeight="11.25" x14ac:dyDescent="0.2"/>
  <cols>
    <col min="1" max="1" width="14.85546875" style="1" bestFit="1" customWidth="1"/>
    <col min="2" max="2" width="5" style="1" bestFit="1" customWidth="1"/>
    <col min="3" max="3" width="9.140625" style="1" customWidth="1"/>
    <col min="4" max="15" width="9.140625" style="1"/>
    <col min="16" max="16" width="9.140625" style="2"/>
    <col min="17" max="17" width="7.42578125" style="1" bestFit="1" customWidth="1"/>
    <col min="18" max="16384" width="9.140625" style="1"/>
  </cols>
  <sheetData>
    <row r="1" spans="1:16" ht="17.25" thickTop="1" thickBot="1" x14ac:dyDescent="0.3">
      <c r="A1" s="196" t="s">
        <v>267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6" ht="12" thickTop="1" x14ac:dyDescent="0.2">
      <c r="A2" s="1" t="s">
        <v>61</v>
      </c>
      <c r="B2" s="1" t="s">
        <v>62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241</v>
      </c>
      <c r="P2" s="2" t="s">
        <v>244</v>
      </c>
    </row>
    <row r="3" spans="1:16" x14ac:dyDescent="0.2">
      <c r="A3" s="18" t="s">
        <v>75</v>
      </c>
      <c r="B3" s="18" t="s">
        <v>76</v>
      </c>
      <c r="C3" s="19">
        <v>414</v>
      </c>
      <c r="D3" s="19">
        <v>387</v>
      </c>
      <c r="E3" s="19">
        <v>464</v>
      </c>
      <c r="F3" s="19">
        <v>477</v>
      </c>
      <c r="G3" s="19">
        <v>455</v>
      </c>
      <c r="H3" s="19">
        <v>410</v>
      </c>
      <c r="I3" s="19">
        <v>474</v>
      </c>
      <c r="J3" s="19">
        <v>462</v>
      </c>
      <c r="K3" s="19">
        <v>436</v>
      </c>
      <c r="L3" s="19">
        <v>461</v>
      </c>
      <c r="M3" s="19">
        <v>407</v>
      </c>
      <c r="N3" s="19">
        <v>378</v>
      </c>
      <c r="O3" s="43">
        <f>SUM(GERAL_MUN[[#This Row],[JAN]:[DEZ]])</f>
        <v>5225</v>
      </c>
      <c r="P3" s="44">
        <f>GERAL_MUN[[#This Row],[2019]]/GERAL_MUN[[#Totals],[2019]]</f>
        <v>0.54150689190589696</v>
      </c>
    </row>
    <row r="4" spans="1:16" x14ac:dyDescent="0.2">
      <c r="A4" s="1" t="s">
        <v>77</v>
      </c>
      <c r="B4" s="1" t="s">
        <v>78</v>
      </c>
      <c r="C4" s="19">
        <v>157</v>
      </c>
      <c r="D4" s="19">
        <v>124</v>
      </c>
      <c r="E4" s="19">
        <v>150</v>
      </c>
      <c r="F4" s="19">
        <v>137</v>
      </c>
      <c r="G4" s="19">
        <v>152</v>
      </c>
      <c r="H4" s="19">
        <v>121</v>
      </c>
      <c r="I4" s="19">
        <v>127</v>
      </c>
      <c r="J4" s="19">
        <v>125</v>
      </c>
      <c r="K4" s="19">
        <v>137</v>
      </c>
      <c r="L4" s="19">
        <v>136</v>
      </c>
      <c r="M4" s="19">
        <v>122</v>
      </c>
      <c r="N4" s="19">
        <v>136</v>
      </c>
      <c r="O4" s="43">
        <f>SUM(GERAL_MUN[[#This Row],[JAN]:[DEZ]])</f>
        <v>1624</v>
      </c>
      <c r="P4" s="15">
        <f>GERAL_MUN[[#This Row],[2019]]/GERAL_MUN[[#Totals],[2019]]</f>
        <v>0.16830759664213907</v>
      </c>
    </row>
    <row r="5" spans="1:16" x14ac:dyDescent="0.2">
      <c r="A5" s="1" t="s">
        <v>134</v>
      </c>
      <c r="B5" s="1" t="s">
        <v>76</v>
      </c>
      <c r="C5" s="19">
        <v>62</v>
      </c>
      <c r="D5" s="19">
        <v>60</v>
      </c>
      <c r="E5" s="19">
        <v>62</v>
      </c>
      <c r="F5" s="19">
        <v>68</v>
      </c>
      <c r="G5" s="19">
        <v>78</v>
      </c>
      <c r="H5" s="19">
        <v>64</v>
      </c>
      <c r="I5" s="19">
        <v>76</v>
      </c>
      <c r="J5" s="19">
        <v>71</v>
      </c>
      <c r="K5" s="19">
        <v>75</v>
      </c>
      <c r="L5" s="19">
        <v>75</v>
      </c>
      <c r="M5" s="19">
        <v>71</v>
      </c>
      <c r="N5" s="19">
        <v>59</v>
      </c>
      <c r="O5" s="43">
        <f>SUM(GERAL_MUN[[#This Row],[JAN]:[DEZ]])</f>
        <v>821</v>
      </c>
      <c r="P5" s="15">
        <f>GERAL_MUN[[#This Row],[2019]]/GERAL_MUN[[#Totals],[2019]]</f>
        <v>8.5086537465022288E-2</v>
      </c>
    </row>
    <row r="6" spans="1:16" x14ac:dyDescent="0.2">
      <c r="A6" s="1" t="s">
        <v>134</v>
      </c>
      <c r="B6" s="1" t="s">
        <v>78</v>
      </c>
      <c r="C6" s="19">
        <v>132</v>
      </c>
      <c r="D6" s="19">
        <v>113</v>
      </c>
      <c r="E6" s="19">
        <v>133</v>
      </c>
      <c r="F6" s="19">
        <v>143</v>
      </c>
      <c r="G6" s="19">
        <v>146</v>
      </c>
      <c r="H6" s="19">
        <v>119</v>
      </c>
      <c r="I6" s="19">
        <v>125</v>
      </c>
      <c r="J6" s="19">
        <v>154</v>
      </c>
      <c r="K6" s="19">
        <v>145</v>
      </c>
      <c r="L6" s="19">
        <v>166</v>
      </c>
      <c r="M6" s="19">
        <v>146</v>
      </c>
      <c r="N6" s="19">
        <v>140</v>
      </c>
      <c r="O6" s="43">
        <f>SUM(GERAL_MUN[[#This Row],[JAN]:[DEZ]])</f>
        <v>1662</v>
      </c>
      <c r="P6" s="15">
        <f>GERAL_MUN[[#This Row],[2019]]/GERAL_MUN[[#Totals],[2019]]</f>
        <v>0.17224582858327286</v>
      </c>
    </row>
    <row r="7" spans="1:16" x14ac:dyDescent="0.2">
      <c r="A7" s="1" t="s">
        <v>135</v>
      </c>
      <c r="B7" s="1" t="s">
        <v>76</v>
      </c>
      <c r="C7" s="19">
        <v>5</v>
      </c>
      <c r="D7" s="19">
        <v>0</v>
      </c>
      <c r="E7" s="19">
        <v>1</v>
      </c>
      <c r="F7" s="19">
        <v>1</v>
      </c>
      <c r="G7" s="19">
        <v>1</v>
      </c>
      <c r="H7" s="19">
        <v>0</v>
      </c>
      <c r="I7" s="19">
        <v>1</v>
      </c>
      <c r="J7" s="19">
        <v>2</v>
      </c>
      <c r="K7" s="19">
        <v>1</v>
      </c>
      <c r="L7" s="19">
        <v>0</v>
      </c>
      <c r="M7" s="19">
        <v>3</v>
      </c>
      <c r="N7" s="19">
        <v>0</v>
      </c>
      <c r="O7" s="43">
        <f>SUM(GERAL_MUN[[#This Row],[JAN]:[DEZ]])</f>
        <v>15</v>
      </c>
      <c r="P7" s="15">
        <f>GERAL_MUN[[#This Row],[2019]]/GERAL_MUN[[#Totals],[2019]]</f>
        <v>1.5545652399212354E-3</v>
      </c>
    </row>
    <row r="8" spans="1:16" x14ac:dyDescent="0.2">
      <c r="A8" s="1" t="s">
        <v>135</v>
      </c>
      <c r="B8" s="1" t="s">
        <v>78</v>
      </c>
      <c r="C8" s="19">
        <v>2</v>
      </c>
      <c r="D8" s="19">
        <v>4</v>
      </c>
      <c r="E8" s="19">
        <v>2</v>
      </c>
      <c r="F8" s="19">
        <v>2</v>
      </c>
      <c r="G8" s="19">
        <v>2</v>
      </c>
      <c r="H8" s="19">
        <v>2</v>
      </c>
      <c r="I8" s="19">
        <v>6</v>
      </c>
      <c r="J8" s="19">
        <v>5</v>
      </c>
      <c r="K8" s="19">
        <v>3</v>
      </c>
      <c r="L8" s="19">
        <v>5</v>
      </c>
      <c r="M8" s="19">
        <v>3</v>
      </c>
      <c r="N8" s="19">
        <v>1</v>
      </c>
      <c r="O8" s="43">
        <f>SUM(GERAL_MUN[[#This Row],[JAN]:[DEZ]])</f>
        <v>37</v>
      </c>
      <c r="P8" s="15">
        <f>GERAL_MUN[[#This Row],[2019]]/GERAL_MUN[[#Totals],[2019]]</f>
        <v>3.8345942584723804E-3</v>
      </c>
    </row>
    <row r="9" spans="1:16" x14ac:dyDescent="0.2">
      <c r="A9" s="1" t="s">
        <v>135</v>
      </c>
      <c r="B9" s="1" t="s">
        <v>79</v>
      </c>
      <c r="C9" s="19">
        <v>2</v>
      </c>
      <c r="D9" s="19">
        <v>3</v>
      </c>
      <c r="E9" s="19">
        <v>1</v>
      </c>
      <c r="F9" s="19">
        <v>4</v>
      </c>
      <c r="G9" s="19">
        <v>5</v>
      </c>
      <c r="H9" s="19">
        <v>2</v>
      </c>
      <c r="I9" s="19">
        <v>2</v>
      </c>
      <c r="J9" s="19">
        <v>2</v>
      </c>
      <c r="K9" s="19">
        <v>7</v>
      </c>
      <c r="L9" s="19">
        <v>2</v>
      </c>
      <c r="M9" s="19">
        <v>4</v>
      </c>
      <c r="N9" s="19">
        <v>5</v>
      </c>
      <c r="O9" s="43">
        <f>SUM(GERAL_MUN[[#This Row],[JAN]:[DEZ]])</f>
        <v>39</v>
      </c>
      <c r="P9" s="15">
        <f>GERAL_MUN[[#This Row],[2019]]/GERAL_MUN[[#Totals],[2019]]</f>
        <v>4.0418696237952117E-3</v>
      </c>
    </row>
    <row r="10" spans="1:16" x14ac:dyDescent="0.2">
      <c r="A10" s="1" t="s">
        <v>43</v>
      </c>
      <c r="C10" s="9">
        <v>11</v>
      </c>
      <c r="D10" s="9">
        <v>15</v>
      </c>
      <c r="E10" s="9">
        <v>17</v>
      </c>
      <c r="F10" s="9">
        <v>17</v>
      </c>
      <c r="G10" s="9">
        <v>10</v>
      </c>
      <c r="H10" s="9">
        <v>20</v>
      </c>
      <c r="I10" s="9">
        <v>16</v>
      </c>
      <c r="J10" s="9">
        <v>20</v>
      </c>
      <c r="K10" s="9">
        <v>27</v>
      </c>
      <c r="L10" s="9">
        <v>27</v>
      </c>
      <c r="M10" s="9">
        <v>22</v>
      </c>
      <c r="N10" s="9">
        <v>24</v>
      </c>
      <c r="O10" s="43">
        <f>SUM(GERAL_MUN[[#This Row],[JAN]:[DEZ]])</f>
        <v>226</v>
      </c>
      <c r="P10" s="15">
        <f>GERAL_MUN[[#This Row],[2019]]/GERAL_MUN[[#Totals],[2019]]</f>
        <v>2.3422116281479947E-2</v>
      </c>
    </row>
    <row r="11" spans="1:16" x14ac:dyDescent="0.2">
      <c r="A11" s="118"/>
      <c r="B11" s="118"/>
      <c r="C11" s="119">
        <f>SUBTOTAL(109,GERAL_MUN[JAN])</f>
        <v>785</v>
      </c>
      <c r="D11" s="119">
        <f>SUBTOTAL(109,GERAL_MUN[FEV])</f>
        <v>706</v>
      </c>
      <c r="E11" s="119">
        <f>SUBTOTAL(109,GERAL_MUN[MAR])</f>
        <v>830</v>
      </c>
      <c r="F11" s="119">
        <f>SUBTOTAL(109,GERAL_MUN[ABR])</f>
        <v>849</v>
      </c>
      <c r="G11" s="119">
        <f>SUBTOTAL(109,GERAL_MUN[MAI])</f>
        <v>849</v>
      </c>
      <c r="H11" s="119">
        <f>SUBTOTAL(109,GERAL_MUN[JUN])</f>
        <v>738</v>
      </c>
      <c r="I11" s="119">
        <f>SUBTOTAL(109,GERAL_MUN[JUL])</f>
        <v>827</v>
      </c>
      <c r="J11" s="119">
        <f>SUBTOTAL(109,GERAL_MUN[AGO])</f>
        <v>841</v>
      </c>
      <c r="K11" s="119">
        <f>SUBTOTAL(109,GERAL_MUN[SET])</f>
        <v>831</v>
      </c>
      <c r="L11" s="119">
        <f>SUBTOTAL(109,GERAL_MUN[OUT])</f>
        <v>872</v>
      </c>
      <c r="M11" s="119">
        <f>SUBTOTAL(109,GERAL_MUN[NOV])</f>
        <v>778</v>
      </c>
      <c r="N11" s="119">
        <f>SUBTOTAL(109,GERAL_MUN[DEZ])</f>
        <v>743</v>
      </c>
      <c r="O11" s="120">
        <f>SUBTOTAL(109,GERAL_MUN[2019])</f>
        <v>9649</v>
      </c>
      <c r="P11" s="122"/>
    </row>
    <row r="12" spans="1:16" ht="12" thickBot="1" x14ac:dyDescent="0.25"/>
    <row r="13" spans="1:16" ht="17.25" thickTop="1" thickBot="1" x14ac:dyDescent="0.3">
      <c r="A13" s="196" t="s">
        <v>268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</row>
    <row r="14" spans="1:16" ht="12" thickTop="1" x14ac:dyDescent="0.2">
      <c r="A14" s="1" t="s">
        <v>61</v>
      </c>
      <c r="B14" s="1" t="s">
        <v>62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  <c r="H14" s="1" t="s">
        <v>6</v>
      </c>
      <c r="I14" s="1" t="s">
        <v>7</v>
      </c>
      <c r="J14" s="1" t="s">
        <v>8</v>
      </c>
      <c r="K14" s="1" t="s">
        <v>9</v>
      </c>
      <c r="L14" s="1" t="s">
        <v>10</v>
      </c>
      <c r="M14" s="1" t="s">
        <v>11</v>
      </c>
      <c r="N14" s="1" t="s">
        <v>12</v>
      </c>
      <c r="O14" s="2" t="s">
        <v>241</v>
      </c>
      <c r="P14" s="2" t="s">
        <v>244</v>
      </c>
    </row>
    <row r="15" spans="1:16" x14ac:dyDescent="0.2">
      <c r="A15" s="1" t="s">
        <v>75</v>
      </c>
      <c r="B15" s="1" t="s">
        <v>76</v>
      </c>
      <c r="C15" s="9">
        <v>384</v>
      </c>
      <c r="D15" s="9">
        <v>354</v>
      </c>
      <c r="E15" s="9">
        <v>430</v>
      </c>
      <c r="F15" s="9">
        <v>434</v>
      </c>
      <c r="G15" s="9">
        <v>420</v>
      </c>
      <c r="H15" s="9">
        <v>378</v>
      </c>
      <c r="I15" s="9">
        <v>425</v>
      </c>
      <c r="J15" s="9">
        <v>404</v>
      </c>
      <c r="K15" s="9">
        <v>382</v>
      </c>
      <c r="L15" s="9">
        <v>385</v>
      </c>
      <c r="M15" s="9">
        <v>361</v>
      </c>
      <c r="N15" s="9">
        <v>330</v>
      </c>
      <c r="O15" s="14">
        <f>SUM(GERAL_MUN6[[#This Row],[JAN]:[DEZ]])</f>
        <v>4687</v>
      </c>
      <c r="P15" s="15">
        <f>GERAL_MUN6[[#This Row],[2019]]/GERAL_MUN6[[#Totals],[2019]]</f>
        <v>0.53749999999999998</v>
      </c>
    </row>
    <row r="16" spans="1:16" x14ac:dyDescent="0.2">
      <c r="A16" s="1" t="s">
        <v>77</v>
      </c>
      <c r="B16" s="1" t="s">
        <v>78</v>
      </c>
      <c r="C16" s="9">
        <v>149</v>
      </c>
      <c r="D16" s="9">
        <v>113</v>
      </c>
      <c r="E16" s="9">
        <v>132</v>
      </c>
      <c r="F16" s="9">
        <v>132</v>
      </c>
      <c r="G16" s="9">
        <v>141</v>
      </c>
      <c r="H16" s="9">
        <v>110</v>
      </c>
      <c r="I16" s="9">
        <v>119</v>
      </c>
      <c r="J16" s="9">
        <v>118</v>
      </c>
      <c r="K16" s="9">
        <v>130</v>
      </c>
      <c r="L16" s="9">
        <v>122</v>
      </c>
      <c r="M16" s="9">
        <v>117</v>
      </c>
      <c r="N16" s="9">
        <v>127</v>
      </c>
      <c r="O16" s="14">
        <f>SUM(GERAL_MUN6[[#This Row],[JAN]:[DEZ]])</f>
        <v>1510</v>
      </c>
      <c r="P16" s="15">
        <f>GERAL_MUN6[[#This Row],[2019]]/GERAL_MUN6[[#Totals],[2019]]</f>
        <v>0.17316513761467889</v>
      </c>
    </row>
    <row r="17" spans="1:16" x14ac:dyDescent="0.2">
      <c r="A17" s="1" t="s">
        <v>134</v>
      </c>
      <c r="B17" s="1" t="s">
        <v>76</v>
      </c>
      <c r="C17" s="9">
        <v>55</v>
      </c>
      <c r="D17" s="9">
        <v>52</v>
      </c>
      <c r="E17" s="9">
        <v>53</v>
      </c>
      <c r="F17" s="9">
        <v>58</v>
      </c>
      <c r="G17" s="9">
        <v>67</v>
      </c>
      <c r="H17" s="9">
        <v>55</v>
      </c>
      <c r="I17" s="9">
        <v>59</v>
      </c>
      <c r="J17" s="9">
        <v>53</v>
      </c>
      <c r="K17" s="9">
        <v>65</v>
      </c>
      <c r="L17" s="9">
        <v>54</v>
      </c>
      <c r="M17" s="9">
        <v>60</v>
      </c>
      <c r="N17" s="9">
        <v>53</v>
      </c>
      <c r="O17" s="14">
        <f>SUM(GERAL_MUN6[[#This Row],[JAN]:[DEZ]])</f>
        <v>684</v>
      </c>
      <c r="P17" s="15">
        <f>GERAL_MUN6[[#This Row],[2019]]/GERAL_MUN6[[#Totals],[2019]]</f>
        <v>7.8440366972477069E-2</v>
      </c>
    </row>
    <row r="18" spans="1:16" x14ac:dyDescent="0.2">
      <c r="A18" s="1" t="s">
        <v>134</v>
      </c>
      <c r="B18" s="1" t="s">
        <v>78</v>
      </c>
      <c r="C18" s="9">
        <v>128</v>
      </c>
      <c r="D18" s="9">
        <v>105</v>
      </c>
      <c r="E18" s="9">
        <v>122</v>
      </c>
      <c r="F18" s="9">
        <v>136</v>
      </c>
      <c r="G18" s="9">
        <v>138</v>
      </c>
      <c r="H18" s="9">
        <v>112</v>
      </c>
      <c r="I18" s="9">
        <v>116</v>
      </c>
      <c r="J18" s="9">
        <v>143</v>
      </c>
      <c r="K18" s="9">
        <v>134</v>
      </c>
      <c r="L18" s="9">
        <v>149</v>
      </c>
      <c r="M18" s="9">
        <v>131</v>
      </c>
      <c r="N18" s="9">
        <v>129</v>
      </c>
      <c r="O18" s="14">
        <f>SUM(GERAL_MUN6[[#This Row],[JAN]:[DEZ]])</f>
        <v>1543</v>
      </c>
      <c r="P18" s="15">
        <f>GERAL_MUN6[[#This Row],[2019]]/GERAL_MUN6[[#Totals],[2019]]</f>
        <v>0.17694954128440368</v>
      </c>
    </row>
    <row r="19" spans="1:16" x14ac:dyDescent="0.2">
      <c r="A19" s="1" t="s">
        <v>135</v>
      </c>
      <c r="B19" s="1" t="s">
        <v>76</v>
      </c>
      <c r="C19" s="9">
        <v>5</v>
      </c>
      <c r="D19" s="9">
        <v>0</v>
      </c>
      <c r="E19" s="9">
        <v>1</v>
      </c>
      <c r="F19" s="9">
        <v>1</v>
      </c>
      <c r="G19" s="9">
        <v>1</v>
      </c>
      <c r="H19" s="9">
        <v>0</v>
      </c>
      <c r="I19" s="9">
        <v>1</v>
      </c>
      <c r="J19" s="9">
        <v>2</v>
      </c>
      <c r="K19" s="9">
        <v>1</v>
      </c>
      <c r="L19" s="9">
        <v>0</v>
      </c>
      <c r="M19" s="9">
        <v>2</v>
      </c>
      <c r="N19" s="9">
        <v>0</v>
      </c>
      <c r="O19" s="14">
        <f>SUM(GERAL_MUN6[[#This Row],[JAN]:[DEZ]])</f>
        <v>14</v>
      </c>
      <c r="P19" s="15">
        <f>GERAL_MUN6[[#This Row],[2019]]/GERAL_MUN6[[#Totals],[2019]]</f>
        <v>1.6055045871559634E-3</v>
      </c>
    </row>
    <row r="20" spans="1:16" x14ac:dyDescent="0.2">
      <c r="A20" s="1" t="s">
        <v>135</v>
      </c>
      <c r="B20" s="1" t="s">
        <v>78</v>
      </c>
      <c r="C20" s="9">
        <v>2</v>
      </c>
      <c r="D20" s="9">
        <v>4</v>
      </c>
      <c r="E20" s="9">
        <v>2</v>
      </c>
      <c r="F20" s="9">
        <v>2</v>
      </c>
      <c r="G20" s="9">
        <v>1</v>
      </c>
      <c r="H20" s="9">
        <v>2</v>
      </c>
      <c r="I20" s="9">
        <v>6</v>
      </c>
      <c r="J20" s="9">
        <v>5</v>
      </c>
      <c r="K20" s="9">
        <v>3</v>
      </c>
      <c r="L20" s="9">
        <v>4</v>
      </c>
      <c r="M20" s="9">
        <v>3</v>
      </c>
      <c r="N20" s="9">
        <v>1</v>
      </c>
      <c r="O20" s="14">
        <f>SUM(GERAL_MUN6[[#This Row],[JAN]:[DEZ]])</f>
        <v>35</v>
      </c>
      <c r="P20" s="15">
        <f>GERAL_MUN6[[#This Row],[2019]]/GERAL_MUN6[[#Totals],[2019]]</f>
        <v>4.0137614678899085E-3</v>
      </c>
    </row>
    <row r="21" spans="1:16" x14ac:dyDescent="0.2">
      <c r="A21" s="1" t="s">
        <v>135</v>
      </c>
      <c r="B21" s="1" t="s">
        <v>79</v>
      </c>
      <c r="C21" s="9">
        <v>2</v>
      </c>
      <c r="D21" s="9">
        <v>3</v>
      </c>
      <c r="E21" s="9">
        <v>1</v>
      </c>
      <c r="F21" s="9">
        <v>4</v>
      </c>
      <c r="G21" s="9">
        <v>5</v>
      </c>
      <c r="H21" s="9">
        <v>2</v>
      </c>
      <c r="I21" s="9">
        <v>2</v>
      </c>
      <c r="J21" s="9">
        <v>2</v>
      </c>
      <c r="K21" s="9">
        <v>5</v>
      </c>
      <c r="L21" s="9">
        <v>2</v>
      </c>
      <c r="M21" s="9">
        <v>4</v>
      </c>
      <c r="N21" s="9">
        <v>4</v>
      </c>
      <c r="O21" s="14">
        <f>SUM(GERAL_MUN6[[#This Row],[JAN]:[DEZ]])</f>
        <v>36</v>
      </c>
      <c r="P21" s="15">
        <f>GERAL_MUN6[[#This Row],[2019]]/GERAL_MUN6[[#Totals],[2019]]</f>
        <v>4.1284403669724773E-3</v>
      </c>
    </row>
    <row r="22" spans="1:16" x14ac:dyDescent="0.2">
      <c r="A22" s="1" t="s">
        <v>43</v>
      </c>
      <c r="C22" s="9">
        <v>11</v>
      </c>
      <c r="D22" s="9">
        <v>15</v>
      </c>
      <c r="E22" s="9">
        <v>17</v>
      </c>
      <c r="F22" s="9">
        <v>17</v>
      </c>
      <c r="G22" s="9">
        <v>9</v>
      </c>
      <c r="H22" s="9">
        <v>18</v>
      </c>
      <c r="I22" s="9">
        <v>16</v>
      </c>
      <c r="J22" s="9">
        <v>18</v>
      </c>
      <c r="K22" s="9">
        <v>26</v>
      </c>
      <c r="L22" s="9">
        <v>21</v>
      </c>
      <c r="M22" s="9">
        <v>19</v>
      </c>
      <c r="N22" s="9">
        <v>24</v>
      </c>
      <c r="O22" s="14">
        <f>SUM(GERAL_MUN6[[#This Row],[JAN]:[DEZ]])</f>
        <v>211</v>
      </c>
      <c r="P22" s="15">
        <f>GERAL_MUN6[[#This Row],[2019]]/GERAL_MUN6[[#Totals],[2019]]</f>
        <v>2.419724770642202E-2</v>
      </c>
    </row>
    <row r="23" spans="1:16" x14ac:dyDescent="0.2">
      <c r="A23" s="118"/>
      <c r="B23" s="118"/>
      <c r="C23" s="119">
        <f>SUBTOTAL(109,GERAL_MUN6[JAN])</f>
        <v>736</v>
      </c>
      <c r="D23" s="119">
        <f>SUBTOTAL(109,GERAL_MUN6[FEV])</f>
        <v>646</v>
      </c>
      <c r="E23" s="119">
        <f>SUBTOTAL(109,GERAL_MUN6[MAR])</f>
        <v>758</v>
      </c>
      <c r="F23" s="119">
        <f>SUBTOTAL(109,GERAL_MUN6[ABR])</f>
        <v>784</v>
      </c>
      <c r="G23" s="119">
        <f>SUBTOTAL(109,GERAL_MUN6[MAI])</f>
        <v>782</v>
      </c>
      <c r="H23" s="119">
        <f>SUBTOTAL(109,GERAL_MUN6[JUN])</f>
        <v>677</v>
      </c>
      <c r="I23" s="119">
        <f>SUBTOTAL(109,GERAL_MUN6[JUL])</f>
        <v>744</v>
      </c>
      <c r="J23" s="119">
        <f>SUBTOTAL(109,GERAL_MUN6[AGO])</f>
        <v>745</v>
      </c>
      <c r="K23" s="119">
        <f>SUBTOTAL(109,GERAL_MUN6[SET])</f>
        <v>746</v>
      </c>
      <c r="L23" s="119">
        <f>SUBTOTAL(109,GERAL_MUN6[OUT])</f>
        <v>737</v>
      </c>
      <c r="M23" s="119">
        <f>SUBTOTAL(109,GERAL_MUN6[NOV])</f>
        <v>697</v>
      </c>
      <c r="N23" s="119">
        <f>SUBTOTAL(109,GERAL_MUN6[DEZ])</f>
        <v>668</v>
      </c>
      <c r="O23" s="120">
        <f>SUBTOTAL(109,GERAL_MUN6[2019])</f>
        <v>8720</v>
      </c>
      <c r="P23" s="122"/>
    </row>
    <row r="24" spans="1:16" ht="12" thickBot="1" x14ac:dyDescent="0.25"/>
    <row r="25" spans="1:16" ht="17.25" thickTop="1" thickBot="1" x14ac:dyDescent="0.3">
      <c r="A25" s="196" t="s">
        <v>269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</row>
    <row r="26" spans="1:16" ht="12" thickTop="1" x14ac:dyDescent="0.2">
      <c r="A26" s="1" t="s">
        <v>61</v>
      </c>
      <c r="B26" s="1" t="s">
        <v>62</v>
      </c>
      <c r="C26" s="1" t="s">
        <v>1</v>
      </c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10</v>
      </c>
      <c r="M26" s="1" t="s">
        <v>11</v>
      </c>
      <c r="N26" s="1" t="s">
        <v>12</v>
      </c>
      <c r="O26" s="2" t="s">
        <v>241</v>
      </c>
      <c r="P26" s="2" t="s">
        <v>244</v>
      </c>
    </row>
    <row r="27" spans="1:16" x14ac:dyDescent="0.2">
      <c r="A27" s="1" t="s">
        <v>75</v>
      </c>
      <c r="B27" s="1" t="s">
        <v>76</v>
      </c>
      <c r="C27" s="9">
        <v>30</v>
      </c>
      <c r="D27" s="9">
        <v>33</v>
      </c>
      <c r="E27" s="9">
        <v>33</v>
      </c>
      <c r="F27" s="9">
        <v>43</v>
      </c>
      <c r="G27" s="9">
        <v>35</v>
      </c>
      <c r="H27" s="9">
        <v>32</v>
      </c>
      <c r="I27" s="9">
        <v>49</v>
      </c>
      <c r="J27" s="9">
        <v>57</v>
      </c>
      <c r="K27" s="9">
        <v>54</v>
      </c>
      <c r="L27" s="9">
        <v>76</v>
      </c>
      <c r="M27" s="9">
        <v>46</v>
      </c>
      <c r="N27" s="9">
        <v>48</v>
      </c>
      <c r="O27" s="14">
        <f>SUM(GERAL_MUN68[[#This Row],[JAN]:[DEZ]])</f>
        <v>536</v>
      </c>
      <c r="P27" s="15">
        <f>GERAL_MUN68[[#This Row],[2019]]/GERAL_MUN68[[#Totals],[2019]]</f>
        <v>0.57820927723840343</v>
      </c>
    </row>
    <row r="28" spans="1:16" x14ac:dyDescent="0.2">
      <c r="A28" s="1" t="s">
        <v>77</v>
      </c>
      <c r="B28" s="1" t="s">
        <v>78</v>
      </c>
      <c r="C28" s="9">
        <v>8</v>
      </c>
      <c r="D28" s="9">
        <v>11</v>
      </c>
      <c r="E28" s="9">
        <v>18</v>
      </c>
      <c r="F28" s="9">
        <v>5</v>
      </c>
      <c r="G28" s="9">
        <v>11</v>
      </c>
      <c r="H28" s="9">
        <v>11</v>
      </c>
      <c r="I28" s="9">
        <v>8</v>
      </c>
      <c r="J28" s="9">
        <v>7</v>
      </c>
      <c r="K28" s="9">
        <v>7</v>
      </c>
      <c r="L28" s="9">
        <v>14</v>
      </c>
      <c r="M28" s="9">
        <v>5</v>
      </c>
      <c r="N28" s="9">
        <v>9</v>
      </c>
      <c r="O28" s="14">
        <f>SUM(GERAL_MUN68[[#This Row],[JAN]:[DEZ]])</f>
        <v>114</v>
      </c>
      <c r="P28" s="15">
        <f>GERAL_MUN68[[#This Row],[2019]]/GERAL_MUN68[[#Totals],[2019]]</f>
        <v>0.12297734627831715</v>
      </c>
    </row>
    <row r="29" spans="1:16" x14ac:dyDescent="0.2">
      <c r="A29" s="1" t="s">
        <v>134</v>
      </c>
      <c r="B29" s="1" t="s">
        <v>76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9">
        <v>9</v>
      </c>
      <c r="I29" s="9">
        <v>17</v>
      </c>
      <c r="J29" s="9">
        <v>18</v>
      </c>
      <c r="K29" s="9">
        <v>10</v>
      </c>
      <c r="L29" s="9">
        <v>21</v>
      </c>
      <c r="M29" s="9">
        <v>11</v>
      </c>
      <c r="N29" s="9">
        <v>6</v>
      </c>
      <c r="O29" s="14">
        <f>SUM(GERAL_MUN68[[#This Row],[JAN]:[DEZ]])</f>
        <v>137</v>
      </c>
      <c r="P29" s="15">
        <f>GERAL_MUN68[[#This Row],[2019]]/GERAL_MUN68[[#Totals],[2019]]</f>
        <v>0.14778856526429343</v>
      </c>
    </row>
    <row r="30" spans="1:16" x14ac:dyDescent="0.2">
      <c r="A30" s="1" t="s">
        <v>134</v>
      </c>
      <c r="B30" s="1" t="s">
        <v>78</v>
      </c>
      <c r="C30" s="9">
        <v>4</v>
      </c>
      <c r="D30" s="9">
        <v>8</v>
      </c>
      <c r="E30" s="9">
        <v>11</v>
      </c>
      <c r="F30" s="9">
        <v>7</v>
      </c>
      <c r="G30" s="9">
        <v>8</v>
      </c>
      <c r="H30" s="9">
        <v>7</v>
      </c>
      <c r="I30" s="9">
        <v>9</v>
      </c>
      <c r="J30" s="9">
        <v>11</v>
      </c>
      <c r="K30" s="9">
        <v>11</v>
      </c>
      <c r="L30" s="9">
        <v>17</v>
      </c>
      <c r="M30" s="9">
        <v>15</v>
      </c>
      <c r="N30" s="9">
        <v>11</v>
      </c>
      <c r="O30" s="14">
        <f>SUM(GERAL_MUN68[[#This Row],[JAN]:[DEZ]])</f>
        <v>119</v>
      </c>
      <c r="P30" s="15">
        <f>GERAL_MUN68[[#This Row],[2019]]/GERAL_MUN68[[#Totals],[2019]]</f>
        <v>0.12837108953613807</v>
      </c>
    </row>
    <row r="31" spans="1:16" x14ac:dyDescent="0.2">
      <c r="A31" s="1" t="s">
        <v>135</v>
      </c>
      <c r="B31" s="1" t="s">
        <v>76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</v>
      </c>
      <c r="N31" s="9">
        <v>0</v>
      </c>
      <c r="O31" s="14">
        <f>SUM(GERAL_MUN68[[#This Row],[JAN]:[DEZ]])</f>
        <v>1</v>
      </c>
      <c r="P31" s="15">
        <f>GERAL_MUN68[[#This Row],[2019]]/GERAL_MUN68[[#Totals],[2019]]</f>
        <v>1.0787486515641855E-3</v>
      </c>
    </row>
    <row r="32" spans="1:16" x14ac:dyDescent="0.2">
      <c r="A32" s="1" t="s">
        <v>135</v>
      </c>
      <c r="B32" s="1" t="s">
        <v>78</v>
      </c>
      <c r="C32" s="9">
        <v>0</v>
      </c>
      <c r="D32" s="9">
        <v>0</v>
      </c>
      <c r="E32" s="9">
        <v>0</v>
      </c>
      <c r="F32" s="9">
        <v>0</v>
      </c>
      <c r="G32" s="9">
        <v>1</v>
      </c>
      <c r="H32" s="9">
        <v>0</v>
      </c>
      <c r="I32" s="9">
        <v>0</v>
      </c>
      <c r="J32" s="9">
        <v>0</v>
      </c>
      <c r="K32" s="9">
        <v>0</v>
      </c>
      <c r="L32" s="9">
        <v>1</v>
      </c>
      <c r="M32" s="9">
        <v>0</v>
      </c>
      <c r="N32" s="9">
        <v>0</v>
      </c>
      <c r="O32" s="14">
        <f>SUM(GERAL_MUN68[[#This Row],[JAN]:[DEZ]])</f>
        <v>2</v>
      </c>
      <c r="P32" s="15">
        <f>GERAL_MUN68[[#This Row],[2019]]/GERAL_MUN68[[#Totals],[2019]]</f>
        <v>2.1574973031283709E-3</v>
      </c>
    </row>
    <row r="33" spans="1:16" x14ac:dyDescent="0.2">
      <c r="A33" s="1" t="s">
        <v>135</v>
      </c>
      <c r="B33" s="1" t="s">
        <v>79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2</v>
      </c>
      <c r="L33" s="9">
        <v>0</v>
      </c>
      <c r="M33" s="9">
        <v>0</v>
      </c>
      <c r="N33" s="9">
        <v>1</v>
      </c>
      <c r="O33" s="14">
        <f>SUM(GERAL_MUN68[[#This Row],[JAN]:[DEZ]])</f>
        <v>3</v>
      </c>
      <c r="P33" s="15">
        <f>GERAL_MUN68[[#This Row],[2019]]/GERAL_MUN68[[#Totals],[2019]]</f>
        <v>3.2362459546925568E-3</v>
      </c>
    </row>
    <row r="34" spans="1:16" x14ac:dyDescent="0.2">
      <c r="A34" s="1" t="s">
        <v>43</v>
      </c>
      <c r="C34" s="9">
        <v>0</v>
      </c>
      <c r="D34" s="9">
        <v>0</v>
      </c>
      <c r="E34" s="9">
        <v>0</v>
      </c>
      <c r="F34" s="9">
        <v>0</v>
      </c>
      <c r="G34" s="9">
        <v>1</v>
      </c>
      <c r="H34" s="9">
        <v>2</v>
      </c>
      <c r="I34" s="9">
        <v>0</v>
      </c>
      <c r="J34" s="9">
        <v>2</v>
      </c>
      <c r="K34" s="9">
        <v>1</v>
      </c>
      <c r="L34" s="9">
        <v>6</v>
      </c>
      <c r="M34" s="9">
        <v>3</v>
      </c>
      <c r="N34" s="9">
        <v>0</v>
      </c>
      <c r="O34" s="14">
        <f>SUM(GERAL_MUN68[[#This Row],[JAN]:[DEZ]])</f>
        <v>15</v>
      </c>
      <c r="P34" s="15">
        <f>GERAL_MUN68[[#This Row],[2019]]/GERAL_MUN68[[#Totals],[2019]]</f>
        <v>1.6181229773462782E-2</v>
      </c>
    </row>
    <row r="35" spans="1:16" x14ac:dyDescent="0.2">
      <c r="A35" s="118"/>
      <c r="B35" s="118"/>
      <c r="C35" s="119">
        <f>SUBTOTAL(109,GERAL_MUN68[JAN])</f>
        <v>49</v>
      </c>
      <c r="D35" s="119">
        <f>SUBTOTAL(109,GERAL_MUN68[FEV])</f>
        <v>60</v>
      </c>
      <c r="E35" s="119">
        <f>SUBTOTAL(109,GERAL_MUN68[MAR])</f>
        <v>71</v>
      </c>
      <c r="F35" s="119">
        <f>SUBTOTAL(109,GERAL_MUN68[ABR])</f>
        <v>65</v>
      </c>
      <c r="G35" s="119">
        <f>SUBTOTAL(109,GERAL_MUN68[MAI])</f>
        <v>67</v>
      </c>
      <c r="H35" s="119">
        <f>SUBTOTAL(109,GERAL_MUN68[JUN])</f>
        <v>61</v>
      </c>
      <c r="I35" s="119">
        <f>SUBTOTAL(109,GERAL_MUN68[JUL])</f>
        <v>83</v>
      </c>
      <c r="J35" s="119">
        <f>SUBTOTAL(109,GERAL_MUN68[AGO])</f>
        <v>95</v>
      </c>
      <c r="K35" s="119">
        <f>SUBTOTAL(109,GERAL_MUN68[SET])</f>
        <v>85</v>
      </c>
      <c r="L35" s="119">
        <f>SUBTOTAL(109,GERAL_MUN68[OUT])</f>
        <v>135</v>
      </c>
      <c r="M35" s="119">
        <f>SUBTOTAL(109,GERAL_MUN68[NOV])</f>
        <v>81</v>
      </c>
      <c r="N35" s="119">
        <f>SUBTOTAL(109,GERAL_MUN68[DEZ])</f>
        <v>75</v>
      </c>
      <c r="O35" s="120">
        <f>SUBTOTAL(109,GERAL_MUN68[2019])</f>
        <v>927</v>
      </c>
      <c r="P35" s="122"/>
    </row>
    <row r="36" spans="1:16" ht="12" thickBot="1" x14ac:dyDescent="0.25"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4"/>
    </row>
    <row r="37" spans="1:16" ht="17.25" thickTop="1" thickBot="1" x14ac:dyDescent="0.3">
      <c r="A37" s="196" t="s">
        <v>270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</row>
    <row r="38" spans="1:16" ht="12" thickTop="1" x14ac:dyDescent="0.2">
      <c r="A38" s="1" t="s">
        <v>61</v>
      </c>
      <c r="B38" s="1" t="s">
        <v>62</v>
      </c>
      <c r="C38" s="1" t="s">
        <v>1</v>
      </c>
      <c r="D38" s="1" t="s">
        <v>2</v>
      </c>
      <c r="E38" s="1" t="s">
        <v>3</v>
      </c>
      <c r="F38" s="1" t="s">
        <v>4</v>
      </c>
      <c r="G38" s="1" t="s">
        <v>5</v>
      </c>
      <c r="H38" s="1" t="s">
        <v>6</v>
      </c>
      <c r="I38" s="1" t="s">
        <v>7</v>
      </c>
      <c r="J38" s="1" t="s">
        <v>8</v>
      </c>
      <c r="K38" s="1" t="s">
        <v>9</v>
      </c>
      <c r="L38" s="1" t="s">
        <v>10</v>
      </c>
      <c r="M38" s="1" t="s">
        <v>11</v>
      </c>
      <c r="N38" s="1" t="s">
        <v>12</v>
      </c>
      <c r="O38" s="2" t="s">
        <v>241</v>
      </c>
      <c r="P38" s="2" t="s">
        <v>244</v>
      </c>
    </row>
    <row r="39" spans="1:16" x14ac:dyDescent="0.2">
      <c r="A39" s="1" t="s">
        <v>75</v>
      </c>
      <c r="B39" s="1" t="s">
        <v>76</v>
      </c>
      <c r="C39" s="9">
        <v>0</v>
      </c>
      <c r="D39" s="9">
        <v>0</v>
      </c>
      <c r="E39" s="9">
        <v>1</v>
      </c>
      <c r="F39" s="9">
        <v>0</v>
      </c>
      <c r="G39" s="9">
        <v>0</v>
      </c>
      <c r="H39" s="9">
        <v>0</v>
      </c>
      <c r="I39" s="9">
        <v>0</v>
      </c>
      <c r="J39" s="9">
        <v>1</v>
      </c>
      <c r="K39" s="9">
        <v>0</v>
      </c>
      <c r="L39" s="9">
        <v>0</v>
      </c>
      <c r="M39" s="9">
        <v>0</v>
      </c>
      <c r="N39" s="9">
        <v>0</v>
      </c>
      <c r="O39" s="14">
        <f>SUM(GERAL_MUN687[[#This Row],[JAN]:[DEZ]])</f>
        <v>2</v>
      </c>
      <c r="P39" s="15">
        <f>GERAL_MUN687[[#This Row],[2019]]/GERAL_MUN687[[#Totals],[2019]]</f>
        <v>1</v>
      </c>
    </row>
    <row r="40" spans="1:16" x14ac:dyDescent="0.2">
      <c r="A40" s="1" t="s">
        <v>77</v>
      </c>
      <c r="B40" s="1" t="s">
        <v>78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4">
        <f>SUM(GERAL_MUN687[[#This Row],[JAN]:[DEZ]])</f>
        <v>0</v>
      </c>
      <c r="P40" s="15">
        <f>GERAL_MUN687[[#This Row],[2019]]/GERAL_MUN687[[#Totals],[2019]]</f>
        <v>0</v>
      </c>
    </row>
    <row r="41" spans="1:16" x14ac:dyDescent="0.2">
      <c r="A41" s="1" t="s">
        <v>134</v>
      </c>
      <c r="B41" s="1" t="s">
        <v>76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14">
        <f>SUM(GERAL_MUN687[[#This Row],[JAN]:[DEZ]])</f>
        <v>0</v>
      </c>
      <c r="P41" s="15">
        <f>GERAL_MUN687[[#This Row],[2019]]/GERAL_MUN687[[#Totals],[2019]]</f>
        <v>0</v>
      </c>
    </row>
    <row r="42" spans="1:16" x14ac:dyDescent="0.2">
      <c r="A42" s="1" t="s">
        <v>134</v>
      </c>
      <c r="B42" s="1" t="s">
        <v>78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14">
        <f>SUM(GERAL_MUN687[[#This Row],[JAN]:[DEZ]])</f>
        <v>0</v>
      </c>
      <c r="P42" s="15">
        <f>GERAL_MUN687[[#This Row],[2019]]/GERAL_MUN687[[#Totals],[2019]]</f>
        <v>0</v>
      </c>
    </row>
    <row r="43" spans="1:16" x14ac:dyDescent="0.2">
      <c r="A43" s="1" t="s">
        <v>135</v>
      </c>
      <c r="B43" s="1" t="s">
        <v>76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4">
        <f>SUM(GERAL_MUN687[[#This Row],[JAN]:[DEZ]])</f>
        <v>0</v>
      </c>
      <c r="P43" s="15">
        <f>GERAL_MUN687[[#This Row],[2019]]/GERAL_MUN687[[#Totals],[2019]]</f>
        <v>0</v>
      </c>
    </row>
    <row r="44" spans="1:16" x14ac:dyDescent="0.2">
      <c r="A44" s="1" t="s">
        <v>135</v>
      </c>
      <c r="B44" s="1" t="s">
        <v>78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14">
        <f>SUM(GERAL_MUN687[[#This Row],[JAN]:[DEZ]])</f>
        <v>0</v>
      </c>
      <c r="P44" s="15">
        <f>GERAL_MUN687[[#This Row],[2019]]/GERAL_MUN687[[#Totals],[2019]]</f>
        <v>0</v>
      </c>
    </row>
    <row r="45" spans="1:16" x14ac:dyDescent="0.2">
      <c r="A45" s="1" t="s">
        <v>135</v>
      </c>
      <c r="B45" s="1" t="s">
        <v>79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4">
        <f>SUM(GERAL_MUN687[[#This Row],[JAN]:[DEZ]])</f>
        <v>0</v>
      </c>
      <c r="P45" s="15">
        <f>GERAL_MUN687[[#This Row],[2019]]/GERAL_MUN687[[#Totals],[2019]]</f>
        <v>0</v>
      </c>
    </row>
    <row r="46" spans="1:16" x14ac:dyDescent="0.2">
      <c r="A46" s="1" t="s">
        <v>43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4">
        <f>SUM(GERAL_MUN687[[#This Row],[JAN]:[DEZ]])</f>
        <v>0</v>
      </c>
      <c r="P46" s="15">
        <f>GERAL_MUN687[[#This Row],[2019]]/GERAL_MUN687[[#Totals],[2019]]</f>
        <v>0</v>
      </c>
    </row>
    <row r="47" spans="1:16" x14ac:dyDescent="0.2">
      <c r="A47" s="118"/>
      <c r="B47" s="118"/>
      <c r="C47" s="119">
        <f>SUBTOTAL(109,GERAL_MUN687[JAN])</f>
        <v>0</v>
      </c>
      <c r="D47" s="119">
        <f>SUBTOTAL(109,GERAL_MUN687[FEV])</f>
        <v>0</v>
      </c>
      <c r="E47" s="119">
        <f>SUBTOTAL(109,GERAL_MUN687[MAR])</f>
        <v>1</v>
      </c>
      <c r="F47" s="119">
        <f>SUBTOTAL(109,GERAL_MUN687[ABR])</f>
        <v>0</v>
      </c>
      <c r="G47" s="119">
        <f>SUBTOTAL(109,GERAL_MUN687[MAI])</f>
        <v>0</v>
      </c>
      <c r="H47" s="119">
        <f>SUBTOTAL(109,GERAL_MUN687[JUN])</f>
        <v>0</v>
      </c>
      <c r="I47" s="119">
        <f>SUBTOTAL(109,GERAL_MUN687[JUL])</f>
        <v>0</v>
      </c>
      <c r="J47" s="119">
        <f>SUBTOTAL(109,GERAL_MUN687[AGO])</f>
        <v>1</v>
      </c>
      <c r="K47" s="119">
        <f>SUBTOTAL(109,GERAL_MUN687[SET])</f>
        <v>0</v>
      </c>
      <c r="L47" s="119">
        <f>SUBTOTAL(109,GERAL_MUN687[OUT])</f>
        <v>0</v>
      </c>
      <c r="M47" s="119">
        <f>SUBTOTAL(109,GERAL_MUN687[NOV])</f>
        <v>0</v>
      </c>
      <c r="N47" s="119">
        <f>SUBTOTAL(109,GERAL_MUN687[DEZ])</f>
        <v>0</v>
      </c>
      <c r="O47" s="120">
        <f>SUBTOTAL(109,GERAL_MUN687[2019])</f>
        <v>2</v>
      </c>
      <c r="P47" s="122"/>
    </row>
    <row r="48" spans="1:16" ht="12" thickBot="1" x14ac:dyDescent="0.2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4"/>
    </row>
    <row r="49" spans="1:16" ht="17.25" thickTop="1" thickBot="1" x14ac:dyDescent="0.3">
      <c r="A49" s="197" t="s">
        <v>271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</row>
    <row r="50" spans="1:16" ht="12" thickTop="1" x14ac:dyDescent="0.2">
      <c r="A50" s="1" t="s">
        <v>61</v>
      </c>
      <c r="B50" s="1" t="s">
        <v>62</v>
      </c>
      <c r="C50" s="1" t="s">
        <v>1</v>
      </c>
      <c r="D50" s="1" t="s">
        <v>2</v>
      </c>
      <c r="E50" s="1" t="s">
        <v>3</v>
      </c>
      <c r="F50" s="1" t="s">
        <v>4</v>
      </c>
      <c r="G50" s="1" t="s">
        <v>5</v>
      </c>
      <c r="H50" s="1" t="s">
        <v>6</v>
      </c>
      <c r="I50" s="1" t="s">
        <v>7</v>
      </c>
      <c r="J50" s="1" t="s">
        <v>8</v>
      </c>
      <c r="K50" s="1" t="s">
        <v>9</v>
      </c>
      <c r="L50" s="1" t="s">
        <v>10</v>
      </c>
      <c r="M50" s="1" t="s">
        <v>11</v>
      </c>
      <c r="N50" s="1" t="s">
        <v>12</v>
      </c>
      <c r="O50" s="2" t="s">
        <v>241</v>
      </c>
      <c r="P50" s="2" t="s">
        <v>244</v>
      </c>
    </row>
    <row r="51" spans="1:16" x14ac:dyDescent="0.2">
      <c r="A51" s="1" t="s">
        <v>75</v>
      </c>
      <c r="B51" s="1" t="s">
        <v>76</v>
      </c>
      <c r="C51" s="9">
        <v>397</v>
      </c>
      <c r="D51" s="9">
        <v>189</v>
      </c>
      <c r="E51" s="9">
        <v>293</v>
      </c>
      <c r="F51" s="9">
        <v>320</v>
      </c>
      <c r="G51" s="9">
        <v>265</v>
      </c>
      <c r="H51" s="9">
        <v>227</v>
      </c>
      <c r="I51" s="9">
        <v>293</v>
      </c>
      <c r="J51" s="9">
        <v>319</v>
      </c>
      <c r="K51" s="9">
        <v>408</v>
      </c>
      <c r="L51" s="9">
        <v>230</v>
      </c>
      <c r="M51" s="9">
        <v>274</v>
      </c>
      <c r="N51" s="9">
        <v>289</v>
      </c>
      <c r="O51" s="14">
        <f>SUM(CONS_MUN[[#This Row],[JAN]:[DEZ]])</f>
        <v>3504</v>
      </c>
      <c r="P51" s="15">
        <f>CONS_MUN[[#This Row],[2019]]/CONS_MUN[[#Totals],[2019]]</f>
        <v>0.58003641781162063</v>
      </c>
    </row>
    <row r="52" spans="1:16" x14ac:dyDescent="0.2">
      <c r="A52" s="1" t="s">
        <v>77</v>
      </c>
      <c r="B52" s="1" t="s">
        <v>78</v>
      </c>
      <c r="C52" s="9">
        <v>103</v>
      </c>
      <c r="D52" s="9">
        <v>60</v>
      </c>
      <c r="E52" s="9">
        <v>74</v>
      </c>
      <c r="F52" s="9">
        <v>77</v>
      </c>
      <c r="G52" s="9">
        <v>54</v>
      </c>
      <c r="H52" s="9">
        <v>69</v>
      </c>
      <c r="I52" s="9">
        <v>83</v>
      </c>
      <c r="J52" s="9">
        <v>79</v>
      </c>
      <c r="K52" s="9">
        <v>88</v>
      </c>
      <c r="L52" s="9">
        <v>49</v>
      </c>
      <c r="M52" s="9">
        <v>52</v>
      </c>
      <c r="N52" s="9">
        <v>75</v>
      </c>
      <c r="O52" s="14">
        <f>SUM(CONS_MUN[[#This Row],[JAN]:[DEZ]])</f>
        <v>863</v>
      </c>
      <c r="P52" s="15">
        <f>CONS_MUN[[#This Row],[2019]]/CONS_MUN[[#Totals],[2019]]</f>
        <v>0.14285714285714285</v>
      </c>
    </row>
    <row r="53" spans="1:16" x14ac:dyDescent="0.2">
      <c r="A53" s="1" t="s">
        <v>134</v>
      </c>
      <c r="B53" s="1" t="s">
        <v>76</v>
      </c>
      <c r="C53" s="9">
        <v>42</v>
      </c>
      <c r="D53" s="9">
        <v>17</v>
      </c>
      <c r="E53" s="9">
        <v>31</v>
      </c>
      <c r="F53" s="9">
        <v>43</v>
      </c>
      <c r="G53" s="9">
        <v>33</v>
      </c>
      <c r="H53" s="9">
        <v>33</v>
      </c>
      <c r="I53" s="9">
        <v>31</v>
      </c>
      <c r="J53" s="9">
        <v>47</v>
      </c>
      <c r="K53" s="9">
        <v>38</v>
      </c>
      <c r="L53" s="9">
        <v>28</v>
      </c>
      <c r="M53" s="9">
        <v>40</v>
      </c>
      <c r="N53" s="9">
        <v>35</v>
      </c>
      <c r="O53" s="14">
        <f>SUM(CONS_MUN[[#This Row],[JAN]:[DEZ]])</f>
        <v>418</v>
      </c>
      <c r="P53" s="15">
        <f>CONS_MUN[[#This Row],[2019]]/CONS_MUN[[#Totals],[2019]]</f>
        <v>6.9193842079125975E-2</v>
      </c>
    </row>
    <row r="54" spans="1:16" x14ac:dyDescent="0.2">
      <c r="A54" s="1" t="s">
        <v>134</v>
      </c>
      <c r="B54" s="1" t="s">
        <v>78</v>
      </c>
      <c r="C54" s="9">
        <v>107</v>
      </c>
      <c r="D54" s="9">
        <v>74</v>
      </c>
      <c r="E54" s="9">
        <v>90</v>
      </c>
      <c r="F54" s="9">
        <v>98</v>
      </c>
      <c r="G54" s="9">
        <v>87</v>
      </c>
      <c r="H54" s="9">
        <v>75</v>
      </c>
      <c r="I54" s="9">
        <v>105</v>
      </c>
      <c r="J54" s="9">
        <v>112</v>
      </c>
      <c r="K54" s="9">
        <v>136</v>
      </c>
      <c r="L54" s="9">
        <v>58</v>
      </c>
      <c r="M54" s="9">
        <v>83</v>
      </c>
      <c r="N54" s="9">
        <v>109</v>
      </c>
      <c r="O54" s="14">
        <f>SUM(CONS_MUN[[#This Row],[JAN]:[DEZ]])</f>
        <v>1134</v>
      </c>
      <c r="P54" s="15">
        <f>CONS_MUN[[#This Row],[2019]]/CONS_MUN[[#Totals],[2019]]</f>
        <v>0.18771726535341832</v>
      </c>
    </row>
    <row r="55" spans="1:16" x14ac:dyDescent="0.2">
      <c r="A55" s="1" t="s">
        <v>135</v>
      </c>
      <c r="B55" s="1" t="s">
        <v>76</v>
      </c>
      <c r="C55" s="9">
        <v>1</v>
      </c>
      <c r="D55" s="9">
        <v>2</v>
      </c>
      <c r="E55" s="9">
        <v>0</v>
      </c>
      <c r="F55" s="9">
        <v>0</v>
      </c>
      <c r="G55" s="9">
        <v>0</v>
      </c>
      <c r="H55" s="9">
        <v>0</v>
      </c>
      <c r="I55" s="9">
        <v>2</v>
      </c>
      <c r="J55" s="9">
        <v>0</v>
      </c>
      <c r="K55" s="9">
        <v>0</v>
      </c>
      <c r="L55" s="9">
        <v>1</v>
      </c>
      <c r="M55" s="9">
        <v>3</v>
      </c>
      <c r="N55" s="9">
        <v>2</v>
      </c>
      <c r="O55" s="14">
        <f>SUM(CONS_MUN[[#This Row],[JAN]:[DEZ]])</f>
        <v>11</v>
      </c>
      <c r="P55" s="15">
        <f>CONS_MUN[[#This Row],[2019]]/CONS_MUN[[#Totals],[2019]]</f>
        <v>1.8208905810296308E-3</v>
      </c>
    </row>
    <row r="56" spans="1:16" x14ac:dyDescent="0.2">
      <c r="A56" s="1" t="s">
        <v>135</v>
      </c>
      <c r="B56" s="1" t="s">
        <v>78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4">
        <f>SUM(CONS_MUN[[#This Row],[JAN]:[DEZ]])</f>
        <v>0</v>
      </c>
      <c r="P56" s="15">
        <f>CONS_MUN[[#This Row],[2019]]/CONS_MUN[[#Totals],[2019]]</f>
        <v>0</v>
      </c>
    </row>
    <row r="57" spans="1:16" x14ac:dyDescent="0.2">
      <c r="A57" s="1" t="s">
        <v>135</v>
      </c>
      <c r="B57" s="1" t="s">
        <v>79</v>
      </c>
      <c r="C57" s="9">
        <v>1</v>
      </c>
      <c r="D57" s="9">
        <v>0</v>
      </c>
      <c r="E57" s="9">
        <v>1</v>
      </c>
      <c r="F57" s="9">
        <v>3</v>
      </c>
      <c r="G57" s="9">
        <v>1</v>
      </c>
      <c r="H57" s="9">
        <v>2</v>
      </c>
      <c r="I57" s="9">
        <v>0</v>
      </c>
      <c r="J57" s="9">
        <v>2</v>
      </c>
      <c r="K57" s="9">
        <v>1</v>
      </c>
      <c r="L57" s="9">
        <v>0</v>
      </c>
      <c r="M57" s="9">
        <v>0</v>
      </c>
      <c r="N57" s="9">
        <v>0</v>
      </c>
      <c r="O57" s="14">
        <f>SUM(CONS_MUN[[#This Row],[JAN]:[DEZ]])</f>
        <v>11</v>
      </c>
      <c r="P57" s="15">
        <f>CONS_MUN[[#This Row],[2019]]/CONS_MUN[[#Totals],[2019]]</f>
        <v>1.8208905810296308E-3</v>
      </c>
    </row>
    <row r="58" spans="1:16" x14ac:dyDescent="0.2">
      <c r="A58" s="1" t="s">
        <v>43</v>
      </c>
      <c r="C58" s="9">
        <v>11</v>
      </c>
      <c r="D58" s="9">
        <v>0</v>
      </c>
      <c r="E58" s="9">
        <v>8</v>
      </c>
      <c r="F58" s="9">
        <v>10</v>
      </c>
      <c r="G58" s="9">
        <v>4</v>
      </c>
      <c r="H58" s="9">
        <v>8</v>
      </c>
      <c r="I58" s="9">
        <v>6</v>
      </c>
      <c r="J58" s="9">
        <v>10</v>
      </c>
      <c r="K58" s="9">
        <v>16</v>
      </c>
      <c r="L58" s="9">
        <v>11</v>
      </c>
      <c r="M58" s="9">
        <v>7</v>
      </c>
      <c r="N58" s="9">
        <v>9</v>
      </c>
      <c r="O58" s="14">
        <f>SUM(CONS_MUN[[#This Row],[JAN]:[DEZ]])</f>
        <v>100</v>
      </c>
      <c r="P58" s="15">
        <f>CONS_MUN[[#This Row],[2019]]/CONS_MUN[[#Totals],[2019]]</f>
        <v>1.6553550736633008E-2</v>
      </c>
    </row>
    <row r="59" spans="1:16" x14ac:dyDescent="0.2">
      <c r="A59" s="118"/>
      <c r="B59" s="118"/>
      <c r="C59" s="119">
        <f>SUBTOTAL(109,CONS_MUN[JAN])</f>
        <v>662</v>
      </c>
      <c r="D59" s="119">
        <f>SUBTOTAL(109,CONS_MUN[FEV])</f>
        <v>342</v>
      </c>
      <c r="E59" s="119">
        <f>SUBTOTAL(109,CONS_MUN[MAR])</f>
        <v>497</v>
      </c>
      <c r="F59" s="119">
        <f>SUBTOTAL(109,CONS_MUN[ABR])</f>
        <v>551</v>
      </c>
      <c r="G59" s="119">
        <f>SUBTOTAL(109,CONS_MUN[MAI])</f>
        <v>444</v>
      </c>
      <c r="H59" s="119">
        <f>SUBTOTAL(109,CONS_MUN[JUN])</f>
        <v>414</v>
      </c>
      <c r="I59" s="119">
        <f>SUBTOTAL(109,CONS_MUN[JUL])</f>
        <v>520</v>
      </c>
      <c r="J59" s="119">
        <f>SUBTOTAL(109,CONS_MUN[AGO])</f>
        <v>569</v>
      </c>
      <c r="K59" s="119">
        <f>SUBTOTAL(109,CONS_MUN[SET])</f>
        <v>687</v>
      </c>
      <c r="L59" s="119">
        <f>SUBTOTAL(109,CONS_MUN[OUT])</f>
        <v>377</v>
      </c>
      <c r="M59" s="119">
        <f>SUBTOTAL(109,CONS_MUN[NOV])</f>
        <v>459</v>
      </c>
      <c r="N59" s="119">
        <f>SUBTOTAL(109,CONS_MUN[DEZ])</f>
        <v>519</v>
      </c>
      <c r="O59" s="120">
        <f>SUBTOTAL(109,CONS_MUN[2019])</f>
        <v>6041</v>
      </c>
      <c r="P59" s="122"/>
    </row>
    <row r="60" spans="1:16" ht="12" thickBot="1" x14ac:dyDescent="0.25"/>
    <row r="61" spans="1:16" ht="17.25" thickTop="1" thickBot="1" x14ac:dyDescent="0.3">
      <c r="A61" s="197" t="s">
        <v>272</v>
      </c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</row>
    <row r="62" spans="1:16" ht="12" thickTop="1" x14ac:dyDescent="0.2">
      <c r="A62" s="1" t="s">
        <v>61</v>
      </c>
      <c r="B62" s="1" t="s">
        <v>62</v>
      </c>
      <c r="C62" s="1" t="s">
        <v>1</v>
      </c>
      <c r="D62" s="1" t="s">
        <v>2</v>
      </c>
      <c r="E62" s="1" t="s">
        <v>3</v>
      </c>
      <c r="F62" s="1" t="s">
        <v>4</v>
      </c>
      <c r="G62" s="1" t="s">
        <v>5</v>
      </c>
      <c r="H62" s="1" t="s">
        <v>6</v>
      </c>
      <c r="I62" s="1" t="s">
        <v>7</v>
      </c>
      <c r="J62" s="1" t="s">
        <v>8</v>
      </c>
      <c r="K62" s="1" t="s">
        <v>9</v>
      </c>
      <c r="L62" s="1" t="s">
        <v>10</v>
      </c>
      <c r="M62" s="1" t="s">
        <v>11</v>
      </c>
      <c r="N62" s="1" t="s">
        <v>12</v>
      </c>
      <c r="O62" s="2" t="s">
        <v>241</v>
      </c>
      <c r="P62" s="2" t="s">
        <v>244</v>
      </c>
    </row>
    <row r="63" spans="1:16" x14ac:dyDescent="0.2">
      <c r="A63" s="1" t="s">
        <v>75</v>
      </c>
      <c r="B63" s="1" t="s">
        <v>76</v>
      </c>
      <c r="C63" s="9">
        <v>1338</v>
      </c>
      <c r="D63" s="9">
        <v>1566</v>
      </c>
      <c r="E63" s="9">
        <v>1458</v>
      </c>
      <c r="F63" s="9">
        <v>1721</v>
      </c>
      <c r="G63" s="9">
        <v>1742</v>
      </c>
      <c r="H63" s="9">
        <v>1361</v>
      </c>
      <c r="I63" s="9">
        <v>1676</v>
      </c>
      <c r="J63" s="9">
        <v>1509</v>
      </c>
      <c r="K63" s="9">
        <v>1568</v>
      </c>
      <c r="L63" s="9">
        <v>1560</v>
      </c>
      <c r="M63" s="9">
        <v>1350</v>
      </c>
      <c r="N63" s="9">
        <v>1046</v>
      </c>
      <c r="O63" s="14">
        <f>SUM(CONS_MUN28[[#This Row],[JAN]:[DEZ]])</f>
        <v>17895</v>
      </c>
      <c r="P63" s="15">
        <f>CONS_MUN28[[#This Row],[2019]]/CONS_MUN28[[#Totals],[2019]]</f>
        <v>0.69194184517825386</v>
      </c>
    </row>
    <row r="64" spans="1:16" x14ac:dyDescent="0.2">
      <c r="A64" s="1" t="s">
        <v>77</v>
      </c>
      <c r="B64" s="1" t="s">
        <v>78</v>
      </c>
      <c r="C64" s="9">
        <v>188</v>
      </c>
      <c r="D64" s="9">
        <v>206</v>
      </c>
      <c r="E64" s="9">
        <v>206</v>
      </c>
      <c r="F64" s="9">
        <v>201</v>
      </c>
      <c r="G64" s="9">
        <v>194</v>
      </c>
      <c r="H64" s="9">
        <v>180</v>
      </c>
      <c r="I64" s="9">
        <v>223</v>
      </c>
      <c r="J64" s="9">
        <v>203</v>
      </c>
      <c r="K64" s="9">
        <v>218</v>
      </c>
      <c r="L64" s="9">
        <v>185</v>
      </c>
      <c r="M64" s="9">
        <v>202</v>
      </c>
      <c r="N64" s="9">
        <v>176</v>
      </c>
      <c r="O64" s="14">
        <f>SUM(CONS_MUN28[[#This Row],[JAN]:[DEZ]])</f>
        <v>2382</v>
      </c>
      <c r="P64" s="15">
        <f>CONS_MUN28[[#This Row],[2019]]/CONS_MUN28[[#Totals],[2019]]</f>
        <v>9.2104245611321633E-2</v>
      </c>
    </row>
    <row r="65" spans="1:16" x14ac:dyDescent="0.2">
      <c r="A65" s="1" t="s">
        <v>134</v>
      </c>
      <c r="B65" s="1" t="s">
        <v>76</v>
      </c>
      <c r="C65" s="9">
        <v>166</v>
      </c>
      <c r="D65" s="9">
        <v>222</v>
      </c>
      <c r="E65" s="9">
        <v>207</v>
      </c>
      <c r="F65" s="9">
        <v>211</v>
      </c>
      <c r="G65" s="9">
        <v>247</v>
      </c>
      <c r="H65" s="9">
        <v>194</v>
      </c>
      <c r="I65" s="9">
        <v>237</v>
      </c>
      <c r="J65" s="9">
        <v>204</v>
      </c>
      <c r="K65" s="9">
        <v>202</v>
      </c>
      <c r="L65" s="9">
        <v>213</v>
      </c>
      <c r="M65" s="9">
        <v>219</v>
      </c>
      <c r="N65" s="9">
        <v>165</v>
      </c>
      <c r="O65" s="14">
        <f>SUM(CONS_MUN28[[#This Row],[JAN]:[DEZ]])</f>
        <v>2487</v>
      </c>
      <c r="P65" s="15">
        <f>CONS_MUN28[[#This Row],[2019]]/CONS_MUN28[[#Totals],[2019]]</f>
        <v>9.6164256438017168E-2</v>
      </c>
    </row>
    <row r="66" spans="1:16" x14ac:dyDescent="0.2">
      <c r="A66" s="1" t="s">
        <v>134</v>
      </c>
      <c r="B66" s="1" t="s">
        <v>78</v>
      </c>
      <c r="C66" s="9">
        <v>217</v>
      </c>
      <c r="D66" s="9">
        <v>207</v>
      </c>
      <c r="E66" s="9">
        <v>197</v>
      </c>
      <c r="F66" s="9">
        <v>225</v>
      </c>
      <c r="G66" s="9">
        <v>237</v>
      </c>
      <c r="H66" s="9">
        <v>189</v>
      </c>
      <c r="I66" s="9">
        <v>227</v>
      </c>
      <c r="J66" s="9">
        <v>216</v>
      </c>
      <c r="K66" s="9">
        <v>234</v>
      </c>
      <c r="L66" s="9">
        <v>216</v>
      </c>
      <c r="M66" s="9">
        <v>196</v>
      </c>
      <c r="N66" s="9">
        <v>167</v>
      </c>
      <c r="O66" s="14">
        <f>SUM(CONS_MUN28[[#This Row],[JAN]:[DEZ]])</f>
        <v>2528</v>
      </c>
      <c r="P66" s="15">
        <f>CONS_MUN28[[#This Row],[2019]]/CONS_MUN28[[#Totals],[2019]]</f>
        <v>9.7749593998917333E-2</v>
      </c>
    </row>
    <row r="67" spans="1:16" x14ac:dyDescent="0.2">
      <c r="A67" s="1" t="s">
        <v>135</v>
      </c>
      <c r="B67" s="1" t="s">
        <v>76</v>
      </c>
      <c r="C67" s="9">
        <v>2</v>
      </c>
      <c r="D67" s="9">
        <v>3</v>
      </c>
      <c r="E67" s="9">
        <v>2</v>
      </c>
      <c r="F67" s="9">
        <v>5</v>
      </c>
      <c r="G67" s="9">
        <v>4</v>
      </c>
      <c r="H67" s="9">
        <v>4</v>
      </c>
      <c r="I67" s="9">
        <v>4</v>
      </c>
      <c r="J67" s="9">
        <v>2</v>
      </c>
      <c r="K67" s="9">
        <v>7</v>
      </c>
      <c r="L67" s="9">
        <v>7</v>
      </c>
      <c r="M67" s="9">
        <v>3</v>
      </c>
      <c r="N67" s="9">
        <v>4</v>
      </c>
      <c r="O67" s="14">
        <f>SUM(CONS_MUN28[[#This Row],[JAN]:[DEZ]])</f>
        <v>47</v>
      </c>
      <c r="P67" s="15">
        <f>CONS_MUN28[[#This Row],[2019]]/CONS_MUN28[[#Totals],[2019]]</f>
        <v>1.8173381795684789E-3</v>
      </c>
    </row>
    <row r="68" spans="1:16" x14ac:dyDescent="0.2">
      <c r="A68" s="1" t="s">
        <v>135</v>
      </c>
      <c r="B68" s="1" t="s">
        <v>78</v>
      </c>
      <c r="C68" s="9">
        <v>2</v>
      </c>
      <c r="D68" s="9">
        <v>4</v>
      </c>
      <c r="E68" s="9">
        <v>2</v>
      </c>
      <c r="F68" s="9">
        <v>2</v>
      </c>
      <c r="G68" s="9">
        <v>3</v>
      </c>
      <c r="H68" s="9">
        <v>1</v>
      </c>
      <c r="I68" s="9">
        <v>5</v>
      </c>
      <c r="J68" s="9">
        <v>3</v>
      </c>
      <c r="K68" s="9">
        <v>8</v>
      </c>
      <c r="L68" s="9">
        <v>5</v>
      </c>
      <c r="M68" s="9">
        <v>3</v>
      </c>
      <c r="N68" s="9">
        <v>1</v>
      </c>
      <c r="O68" s="14">
        <f>SUM(CONS_MUN28[[#This Row],[JAN]:[DEZ]])</f>
        <v>39</v>
      </c>
      <c r="P68" s="15">
        <f>CONS_MUN28[[#This Row],[2019]]/CONS_MUN28[[#Totals],[2019]]</f>
        <v>1.508004021344057E-3</v>
      </c>
    </row>
    <row r="69" spans="1:16" x14ac:dyDescent="0.2">
      <c r="A69" s="1" t="s">
        <v>135</v>
      </c>
      <c r="B69" s="1" t="s">
        <v>79</v>
      </c>
      <c r="C69" s="9">
        <v>16</v>
      </c>
      <c r="D69" s="9">
        <v>16</v>
      </c>
      <c r="E69" s="9">
        <v>13</v>
      </c>
      <c r="F69" s="9">
        <v>10</v>
      </c>
      <c r="G69" s="9">
        <v>11</v>
      </c>
      <c r="H69" s="9">
        <v>8</v>
      </c>
      <c r="I69" s="9">
        <v>12</v>
      </c>
      <c r="J69" s="9">
        <v>10</v>
      </c>
      <c r="K69" s="9">
        <v>14</v>
      </c>
      <c r="L69" s="9">
        <v>9</v>
      </c>
      <c r="M69" s="9">
        <v>6</v>
      </c>
      <c r="N69" s="9">
        <v>8</v>
      </c>
      <c r="O69" s="14">
        <f>SUM(CONS_MUN28[[#This Row],[JAN]:[DEZ]])</f>
        <v>133</v>
      </c>
      <c r="P69" s="15">
        <f>CONS_MUN28[[#This Row],[2019]]/CONS_MUN28[[#Totals],[2019]]</f>
        <v>5.1426803804810149E-3</v>
      </c>
    </row>
    <row r="70" spans="1:16" x14ac:dyDescent="0.2">
      <c r="A70" s="1" t="s">
        <v>43</v>
      </c>
      <c r="C70" s="9">
        <v>23</v>
      </c>
      <c r="D70" s="9">
        <v>0</v>
      </c>
      <c r="E70" s="9">
        <v>25</v>
      </c>
      <c r="F70" s="9">
        <v>32</v>
      </c>
      <c r="G70" s="9">
        <v>27</v>
      </c>
      <c r="H70" s="9">
        <v>34</v>
      </c>
      <c r="I70" s="9">
        <v>35</v>
      </c>
      <c r="J70" s="9">
        <v>45</v>
      </c>
      <c r="K70" s="9">
        <v>38</v>
      </c>
      <c r="L70" s="9">
        <v>37</v>
      </c>
      <c r="M70" s="9">
        <v>26</v>
      </c>
      <c r="N70" s="9">
        <v>29</v>
      </c>
      <c r="O70" s="14">
        <f>SUM(CONS_MUN28[[#This Row],[JAN]:[DEZ]])</f>
        <v>351</v>
      </c>
      <c r="P70" s="15">
        <f>CONS_MUN28[[#This Row],[2019]]/CONS_MUN28[[#Totals],[2019]]</f>
        <v>1.3572036192096511E-2</v>
      </c>
    </row>
    <row r="71" spans="1:16" x14ac:dyDescent="0.2">
      <c r="A71" s="118"/>
      <c r="B71" s="118"/>
      <c r="C71" s="119">
        <f>SUBTOTAL(109,CONS_MUN28[JAN])</f>
        <v>1952</v>
      </c>
      <c r="D71" s="119">
        <f>SUBTOTAL(109,CONS_MUN28[FEV])</f>
        <v>2224</v>
      </c>
      <c r="E71" s="119">
        <f>SUBTOTAL(109,CONS_MUN28[MAR])</f>
        <v>2110</v>
      </c>
      <c r="F71" s="119">
        <f>SUBTOTAL(109,CONS_MUN28[ABR])</f>
        <v>2407</v>
      </c>
      <c r="G71" s="119">
        <f>SUBTOTAL(109,CONS_MUN28[MAI])</f>
        <v>2465</v>
      </c>
      <c r="H71" s="119">
        <f>SUBTOTAL(109,CONS_MUN28[JUN])</f>
        <v>1971</v>
      </c>
      <c r="I71" s="119">
        <f>SUBTOTAL(109,CONS_MUN28[JUL])</f>
        <v>2419</v>
      </c>
      <c r="J71" s="119">
        <f>SUBTOTAL(109,CONS_MUN28[AGO])</f>
        <v>2192</v>
      </c>
      <c r="K71" s="119">
        <f>SUBTOTAL(109,CONS_MUN28[SET])</f>
        <v>2289</v>
      </c>
      <c r="L71" s="119">
        <f>SUBTOTAL(109,CONS_MUN28[OUT])</f>
        <v>2232</v>
      </c>
      <c r="M71" s="119">
        <f>SUBTOTAL(109,CONS_MUN28[NOV])</f>
        <v>2005</v>
      </c>
      <c r="N71" s="119">
        <f>SUBTOTAL(109,CONS_MUN28[DEZ])</f>
        <v>1596</v>
      </c>
      <c r="O71" s="120">
        <f>SUBTOTAL(109,CONS_MUN28[2019])</f>
        <v>25862</v>
      </c>
      <c r="P71" s="122"/>
    </row>
    <row r="72" spans="1:16" ht="12" thickBot="1" x14ac:dyDescent="0.25">
      <c r="A72" s="22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30"/>
      <c r="P72" s="45"/>
    </row>
    <row r="73" spans="1:16" ht="17.25" thickTop="1" thickBot="1" x14ac:dyDescent="0.3">
      <c r="A73" s="197" t="s">
        <v>273</v>
      </c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</row>
    <row r="74" spans="1:16" ht="12" thickTop="1" x14ac:dyDescent="0.2">
      <c r="A74" s="1" t="s">
        <v>61</v>
      </c>
      <c r="B74" s="1" t="s">
        <v>62</v>
      </c>
      <c r="C74" s="1" t="s">
        <v>1</v>
      </c>
      <c r="D74" s="1" t="s">
        <v>2</v>
      </c>
      <c r="E74" s="1" t="s">
        <v>3</v>
      </c>
      <c r="F74" s="1" t="s">
        <v>4</v>
      </c>
      <c r="G74" s="1" t="s">
        <v>5</v>
      </c>
      <c r="H74" s="1" t="s">
        <v>6</v>
      </c>
      <c r="I74" s="1" t="s">
        <v>7</v>
      </c>
      <c r="J74" s="1" t="s">
        <v>8</v>
      </c>
      <c r="K74" s="1" t="s">
        <v>9</v>
      </c>
      <c r="L74" s="1" t="s">
        <v>10</v>
      </c>
      <c r="M74" s="1" t="s">
        <v>11</v>
      </c>
      <c r="N74" s="1" t="s">
        <v>12</v>
      </c>
      <c r="O74" s="2" t="s">
        <v>241</v>
      </c>
      <c r="P74" s="2" t="s">
        <v>244</v>
      </c>
    </row>
    <row r="75" spans="1:16" x14ac:dyDescent="0.2">
      <c r="A75" s="1" t="s">
        <v>75</v>
      </c>
      <c r="B75" s="1" t="s">
        <v>76</v>
      </c>
      <c r="C75" s="9">
        <v>192</v>
      </c>
      <c r="D75" s="9">
        <v>244</v>
      </c>
      <c r="E75" s="9">
        <v>471</v>
      </c>
      <c r="F75" s="9">
        <v>678</v>
      </c>
      <c r="G75" s="9">
        <v>751</v>
      </c>
      <c r="H75" s="9">
        <v>558</v>
      </c>
      <c r="I75" s="9">
        <v>384</v>
      </c>
      <c r="J75" s="9">
        <v>357</v>
      </c>
      <c r="K75" s="9">
        <v>527</v>
      </c>
      <c r="L75" s="9">
        <v>512</v>
      </c>
      <c r="M75" s="9">
        <v>448</v>
      </c>
      <c r="N75" s="9">
        <v>245</v>
      </c>
      <c r="O75" s="14">
        <f>SUM(CONS_MUN2865[[#This Row],[JAN]:[DEZ]])</f>
        <v>5367</v>
      </c>
      <c r="P75" s="15">
        <f>CONS_MUN2865[[#This Row],[2019]]/CONS_MUN2865[[#Totals],[2019]]</f>
        <v>0.95651399037604701</v>
      </c>
    </row>
    <row r="76" spans="1:16" x14ac:dyDescent="0.2">
      <c r="A76" s="1" t="s">
        <v>77</v>
      </c>
      <c r="B76" s="1" t="s">
        <v>78</v>
      </c>
      <c r="C76" s="9">
        <v>0</v>
      </c>
      <c r="D76" s="9">
        <v>0</v>
      </c>
      <c r="E76" s="9">
        <v>11</v>
      </c>
      <c r="F76" s="9">
        <v>17</v>
      </c>
      <c r="G76" s="9">
        <v>21</v>
      </c>
      <c r="H76" s="9">
        <v>23</v>
      </c>
      <c r="I76" s="9">
        <v>6</v>
      </c>
      <c r="J76" s="9">
        <v>5</v>
      </c>
      <c r="K76" s="9">
        <v>17</v>
      </c>
      <c r="L76" s="9">
        <v>16</v>
      </c>
      <c r="M76" s="9">
        <v>9</v>
      </c>
      <c r="N76" s="9">
        <v>3</v>
      </c>
      <c r="O76" s="14">
        <f>SUM(CONS_MUN2865[[#This Row],[JAN]:[DEZ]])</f>
        <v>128</v>
      </c>
      <c r="P76" s="15">
        <f>CONS_MUN2865[[#This Row],[2019]]/CONS_MUN2865[[#Totals],[2019]]</f>
        <v>2.2812332917483514E-2</v>
      </c>
    </row>
    <row r="77" spans="1:16" x14ac:dyDescent="0.2">
      <c r="A77" s="1" t="s">
        <v>134</v>
      </c>
      <c r="B77" s="1" t="s">
        <v>76</v>
      </c>
      <c r="C77" s="9">
        <v>0</v>
      </c>
      <c r="D77" s="9">
        <v>0</v>
      </c>
      <c r="E77" s="9">
        <v>2</v>
      </c>
      <c r="F77" s="9">
        <v>1</v>
      </c>
      <c r="G77" s="9">
        <v>14</v>
      </c>
      <c r="H77" s="9">
        <v>7</v>
      </c>
      <c r="I77" s="9">
        <v>0</v>
      </c>
      <c r="J77" s="9">
        <v>2</v>
      </c>
      <c r="K77" s="9">
        <v>0</v>
      </c>
      <c r="L77" s="9">
        <v>0</v>
      </c>
      <c r="M77" s="9">
        <v>0</v>
      </c>
      <c r="N77" s="9">
        <v>0</v>
      </c>
      <c r="O77" s="14">
        <f>SUM(CONS_MUN2865[[#This Row],[JAN]:[DEZ]])</f>
        <v>26</v>
      </c>
      <c r="P77" s="15">
        <f>CONS_MUN2865[[#This Row],[2019]]/CONS_MUN2865[[#Totals],[2019]]</f>
        <v>4.6337551238638391E-3</v>
      </c>
    </row>
    <row r="78" spans="1:16" x14ac:dyDescent="0.2">
      <c r="A78" s="1" t="s">
        <v>134</v>
      </c>
      <c r="B78" s="1" t="s">
        <v>78</v>
      </c>
      <c r="C78" s="9">
        <v>0</v>
      </c>
      <c r="D78" s="9">
        <v>0</v>
      </c>
      <c r="E78" s="9">
        <v>0</v>
      </c>
      <c r="F78" s="9">
        <v>6</v>
      </c>
      <c r="G78" s="9">
        <v>12</v>
      </c>
      <c r="H78" s="9">
        <v>0</v>
      </c>
      <c r="I78" s="9">
        <v>0</v>
      </c>
      <c r="J78" s="9">
        <v>2</v>
      </c>
      <c r="K78" s="9">
        <v>5</v>
      </c>
      <c r="L78" s="9">
        <v>0</v>
      </c>
      <c r="M78" s="9">
        <v>0</v>
      </c>
      <c r="N78" s="9">
        <v>0</v>
      </c>
      <c r="O78" s="14">
        <f>SUM(CONS_MUN2865[[#This Row],[JAN]:[DEZ]])</f>
        <v>25</v>
      </c>
      <c r="P78" s="15">
        <f>CONS_MUN2865[[#This Row],[2019]]/CONS_MUN2865[[#Totals],[2019]]</f>
        <v>4.4555337729459991E-3</v>
      </c>
    </row>
    <row r="79" spans="1:16" x14ac:dyDescent="0.2">
      <c r="A79" s="1" t="s">
        <v>135</v>
      </c>
      <c r="B79" s="1" t="s">
        <v>76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14">
        <f>SUM(CONS_MUN2865[[#This Row],[JAN]:[DEZ]])</f>
        <v>0</v>
      </c>
      <c r="P79" s="15">
        <f>CONS_MUN2865[[#This Row],[2019]]/CONS_MUN2865[[#Totals],[2019]]</f>
        <v>0</v>
      </c>
    </row>
    <row r="80" spans="1:16" x14ac:dyDescent="0.2">
      <c r="A80" s="1" t="s">
        <v>135</v>
      </c>
      <c r="B80" s="1" t="s">
        <v>78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5</v>
      </c>
      <c r="J80" s="9">
        <v>9</v>
      </c>
      <c r="K80" s="9">
        <v>8</v>
      </c>
      <c r="L80" s="9">
        <v>8</v>
      </c>
      <c r="M80" s="9">
        <v>5</v>
      </c>
      <c r="N80" s="9">
        <v>3</v>
      </c>
      <c r="O80" s="14">
        <f>SUM(CONS_MUN2865[[#This Row],[JAN]:[DEZ]])</f>
        <v>38</v>
      </c>
      <c r="P80" s="15">
        <f>CONS_MUN2865[[#This Row],[2019]]/CONS_MUN2865[[#Totals],[2019]]</f>
        <v>6.7724113348779187E-3</v>
      </c>
    </row>
    <row r="81" spans="1:16" x14ac:dyDescent="0.2">
      <c r="A81" s="1" t="s">
        <v>135</v>
      </c>
      <c r="B81" s="1" t="s">
        <v>79</v>
      </c>
      <c r="C81" s="9">
        <v>0</v>
      </c>
      <c r="D81" s="9">
        <v>0</v>
      </c>
      <c r="E81" s="9">
        <v>0</v>
      </c>
      <c r="F81" s="9">
        <v>0</v>
      </c>
      <c r="G81" s="9">
        <v>1</v>
      </c>
      <c r="H81" s="9">
        <v>7</v>
      </c>
      <c r="I81" s="9">
        <v>1</v>
      </c>
      <c r="J81" s="9">
        <v>0</v>
      </c>
      <c r="K81" s="9">
        <v>0</v>
      </c>
      <c r="L81" s="9">
        <v>6</v>
      </c>
      <c r="M81" s="9">
        <v>3</v>
      </c>
      <c r="N81" s="9">
        <v>1</v>
      </c>
      <c r="O81" s="14">
        <f>SUM(CONS_MUN2865[[#This Row],[JAN]:[DEZ]])</f>
        <v>19</v>
      </c>
      <c r="P81" s="15">
        <f>CONS_MUN2865[[#This Row],[2019]]/CONS_MUN2865[[#Totals],[2019]]</f>
        <v>3.3862056674389593E-3</v>
      </c>
    </row>
    <row r="82" spans="1:16" x14ac:dyDescent="0.2">
      <c r="A82" s="1" t="s">
        <v>43</v>
      </c>
      <c r="C82" s="9">
        <v>0</v>
      </c>
      <c r="D82" s="9">
        <v>0</v>
      </c>
      <c r="E82" s="9">
        <v>0</v>
      </c>
      <c r="F82" s="9">
        <v>0</v>
      </c>
      <c r="G82" s="9">
        <v>8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14">
        <f>SUM(CONS_MUN2865[[#This Row],[JAN]:[DEZ]])</f>
        <v>8</v>
      </c>
      <c r="P82" s="15">
        <f>CONS_MUN2865[[#This Row],[2019]]/CONS_MUN2865[[#Totals],[2019]]</f>
        <v>1.4257708073427196E-3</v>
      </c>
    </row>
    <row r="83" spans="1:16" x14ac:dyDescent="0.2">
      <c r="A83" s="118"/>
      <c r="B83" s="118"/>
      <c r="C83" s="119">
        <f>SUBTOTAL(109,CONS_MUN2865[JAN])</f>
        <v>192</v>
      </c>
      <c r="D83" s="119">
        <f>SUBTOTAL(109,CONS_MUN2865[FEV])</f>
        <v>244</v>
      </c>
      <c r="E83" s="119">
        <f>SUBTOTAL(109,CONS_MUN2865[MAR])</f>
        <v>484</v>
      </c>
      <c r="F83" s="119">
        <f>SUBTOTAL(109,CONS_MUN2865[ABR])</f>
        <v>702</v>
      </c>
      <c r="G83" s="119">
        <f>SUBTOTAL(109,CONS_MUN2865[MAI])</f>
        <v>807</v>
      </c>
      <c r="H83" s="119">
        <f>SUBTOTAL(109,CONS_MUN2865[JUN])</f>
        <v>595</v>
      </c>
      <c r="I83" s="119">
        <f>SUBTOTAL(109,CONS_MUN2865[JUL])</f>
        <v>396</v>
      </c>
      <c r="J83" s="119">
        <f>SUBTOTAL(109,CONS_MUN2865[AGO])</f>
        <v>375</v>
      </c>
      <c r="K83" s="119">
        <f>SUBTOTAL(109,CONS_MUN2865[SET])</f>
        <v>557</v>
      </c>
      <c r="L83" s="119">
        <f>SUBTOTAL(109,CONS_MUN2865[OUT])</f>
        <v>542</v>
      </c>
      <c r="M83" s="119">
        <f>SUBTOTAL(109,CONS_MUN2865[NOV])</f>
        <v>465</v>
      </c>
      <c r="N83" s="119">
        <f>SUBTOTAL(109,CONS_MUN2865[DEZ])</f>
        <v>252</v>
      </c>
      <c r="O83" s="120">
        <f>SUBTOTAL(109,CONS_MUN2865[2019])</f>
        <v>5611</v>
      </c>
      <c r="P83" s="122"/>
    </row>
    <row r="84" spans="1:16" ht="12" thickBot="1" x14ac:dyDescent="0.25">
      <c r="A84" s="2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30"/>
      <c r="P84" s="45"/>
    </row>
    <row r="85" spans="1:16" ht="17.25" thickTop="1" thickBot="1" x14ac:dyDescent="0.3">
      <c r="A85" s="198" t="s">
        <v>274</v>
      </c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</row>
    <row r="86" spans="1:16" ht="12" thickTop="1" x14ac:dyDescent="0.2">
      <c r="A86" s="1" t="s">
        <v>61</v>
      </c>
      <c r="B86" s="1" t="s">
        <v>62</v>
      </c>
      <c r="C86" s="1" t="s">
        <v>1</v>
      </c>
      <c r="D86" s="1" t="s">
        <v>2</v>
      </c>
      <c r="E86" s="1" t="s">
        <v>3</v>
      </c>
      <c r="F86" s="1" t="s">
        <v>4</v>
      </c>
      <c r="G86" s="1" t="s">
        <v>5</v>
      </c>
      <c r="H86" s="1" t="s">
        <v>6</v>
      </c>
      <c r="I86" s="1" t="s">
        <v>7</v>
      </c>
      <c r="J86" s="1" t="s">
        <v>8</v>
      </c>
      <c r="K86" s="1" t="s">
        <v>9</v>
      </c>
      <c r="L86" s="1" t="s">
        <v>10</v>
      </c>
      <c r="M86" s="1" t="s">
        <v>11</v>
      </c>
      <c r="N86" s="1" t="s">
        <v>12</v>
      </c>
      <c r="O86" s="2" t="s">
        <v>241</v>
      </c>
      <c r="P86" s="2" t="s">
        <v>244</v>
      </c>
    </row>
    <row r="87" spans="1:16" x14ac:dyDescent="0.2">
      <c r="A87" s="1" t="s">
        <v>75</v>
      </c>
      <c r="B87" s="1" t="s">
        <v>76</v>
      </c>
      <c r="C87" s="9">
        <v>2568</v>
      </c>
      <c r="D87" s="9">
        <v>2365</v>
      </c>
      <c r="E87" s="9">
        <v>2758</v>
      </c>
      <c r="F87" s="9">
        <v>2686</v>
      </c>
      <c r="G87" s="9">
        <v>2710</v>
      </c>
      <c r="H87" s="9">
        <v>2526</v>
      </c>
      <c r="I87" s="9">
        <v>2042</v>
      </c>
      <c r="J87" s="9">
        <v>2236</v>
      </c>
      <c r="K87" s="9">
        <v>2483</v>
      </c>
      <c r="L87" s="9">
        <v>2540</v>
      </c>
      <c r="M87" s="9">
        <v>2609</v>
      </c>
      <c r="N87" s="9">
        <v>2704</v>
      </c>
      <c r="O87" s="14">
        <f>SUM(AT_MUN[[#This Row],[JAN]:[DEZ]])</f>
        <v>30227</v>
      </c>
      <c r="P87" s="15">
        <f>AT_MUN[[#This Row],[2019]]/AT_MUN[[#Totals],[2019]]</f>
        <v>0.76417646315257237</v>
      </c>
    </row>
    <row r="88" spans="1:16" x14ac:dyDescent="0.2">
      <c r="A88" s="1" t="s">
        <v>77</v>
      </c>
      <c r="B88" s="1" t="s">
        <v>78</v>
      </c>
      <c r="C88" s="9">
        <v>402</v>
      </c>
      <c r="D88" s="9">
        <v>306</v>
      </c>
      <c r="E88" s="9">
        <v>377</v>
      </c>
      <c r="F88" s="9">
        <v>373</v>
      </c>
      <c r="G88" s="9">
        <v>413</v>
      </c>
      <c r="H88" s="9">
        <v>404</v>
      </c>
      <c r="I88" s="9">
        <v>309</v>
      </c>
      <c r="J88" s="9">
        <v>317</v>
      </c>
      <c r="K88" s="9">
        <v>344</v>
      </c>
      <c r="L88" s="9">
        <v>351</v>
      </c>
      <c r="M88" s="9">
        <v>340</v>
      </c>
      <c r="N88" s="9">
        <v>422</v>
      </c>
      <c r="O88" s="14">
        <f>SUM(AT_MUN[[#This Row],[JAN]:[DEZ]])</f>
        <v>4358</v>
      </c>
      <c r="P88" s="15">
        <f>AT_MUN[[#This Row],[2019]]/AT_MUN[[#Totals],[2019]]</f>
        <v>0.11017570471495386</v>
      </c>
    </row>
    <row r="89" spans="1:16" x14ac:dyDescent="0.2">
      <c r="A89" s="1" t="s">
        <v>134</v>
      </c>
      <c r="B89" s="1" t="s">
        <v>76</v>
      </c>
      <c r="C89" s="9">
        <v>105</v>
      </c>
      <c r="D89" s="9">
        <v>102</v>
      </c>
      <c r="E89" s="9">
        <v>108</v>
      </c>
      <c r="F89" s="9">
        <v>111</v>
      </c>
      <c r="G89" s="9">
        <v>135</v>
      </c>
      <c r="H89" s="9">
        <v>114</v>
      </c>
      <c r="I89" s="9">
        <v>140</v>
      </c>
      <c r="J89" s="9">
        <v>122</v>
      </c>
      <c r="K89" s="9">
        <v>122</v>
      </c>
      <c r="L89" s="9">
        <v>135</v>
      </c>
      <c r="M89" s="9">
        <v>109</v>
      </c>
      <c r="N89" s="9">
        <v>112</v>
      </c>
      <c r="O89" s="14">
        <f>SUM(AT_MUN[[#This Row],[JAN]:[DEZ]])</f>
        <v>1415</v>
      </c>
      <c r="P89" s="15">
        <f>AT_MUN[[#This Row],[2019]]/AT_MUN[[#Totals],[2019]]</f>
        <v>3.5772974339527239E-2</v>
      </c>
    </row>
    <row r="90" spans="1:16" x14ac:dyDescent="0.2">
      <c r="A90" s="1" t="s">
        <v>134</v>
      </c>
      <c r="B90" s="1" t="s">
        <v>78</v>
      </c>
      <c r="C90" s="9">
        <v>214</v>
      </c>
      <c r="D90" s="9">
        <v>170</v>
      </c>
      <c r="E90" s="9">
        <v>215</v>
      </c>
      <c r="F90" s="9">
        <v>215</v>
      </c>
      <c r="G90" s="9">
        <v>232</v>
      </c>
      <c r="H90" s="9">
        <v>180</v>
      </c>
      <c r="I90" s="9">
        <v>193</v>
      </c>
      <c r="J90" s="9">
        <v>247</v>
      </c>
      <c r="K90" s="9">
        <v>252</v>
      </c>
      <c r="L90" s="9">
        <v>250</v>
      </c>
      <c r="M90" s="9">
        <v>243</v>
      </c>
      <c r="N90" s="9">
        <v>232</v>
      </c>
      <c r="O90" s="14">
        <f>SUM(AT_MUN[[#This Row],[JAN]:[DEZ]])</f>
        <v>2643</v>
      </c>
      <c r="P90" s="15">
        <f>AT_MUN[[#This Row],[2019]]/AT_MUN[[#Totals],[2019]]</f>
        <v>6.6818354190367843E-2</v>
      </c>
    </row>
    <row r="91" spans="1:16" x14ac:dyDescent="0.2">
      <c r="A91" s="1" t="s">
        <v>135</v>
      </c>
      <c r="B91" s="1" t="s">
        <v>76</v>
      </c>
      <c r="C91" s="9">
        <v>23</v>
      </c>
      <c r="D91" s="9">
        <v>2</v>
      </c>
      <c r="E91" s="9">
        <v>2</v>
      </c>
      <c r="F91" s="9">
        <v>7</v>
      </c>
      <c r="G91" s="9">
        <v>2</v>
      </c>
      <c r="H91" s="9">
        <v>5</v>
      </c>
      <c r="I91" s="9">
        <v>4</v>
      </c>
      <c r="J91" s="9">
        <v>4</v>
      </c>
      <c r="K91" s="9">
        <v>4</v>
      </c>
      <c r="L91" s="9">
        <v>5</v>
      </c>
      <c r="M91" s="9">
        <v>7</v>
      </c>
      <c r="N91" s="9">
        <v>4</v>
      </c>
      <c r="O91" s="14">
        <f>SUM(AT_MUN[[#This Row],[JAN]:[DEZ]])</f>
        <v>69</v>
      </c>
      <c r="P91" s="15">
        <f>AT_MUN[[#This Row],[2019]]/AT_MUN[[#Totals],[2019]]</f>
        <v>1.7444065225635191E-3</v>
      </c>
    </row>
    <row r="92" spans="1:16" x14ac:dyDescent="0.2">
      <c r="A92" s="1" t="s">
        <v>135</v>
      </c>
      <c r="B92" s="1" t="s">
        <v>78</v>
      </c>
      <c r="C92" s="9">
        <v>5</v>
      </c>
      <c r="D92" s="9">
        <v>4</v>
      </c>
      <c r="E92" s="9">
        <v>7</v>
      </c>
      <c r="F92" s="9">
        <v>6</v>
      </c>
      <c r="G92" s="9">
        <v>9</v>
      </c>
      <c r="H92" s="9">
        <v>11</v>
      </c>
      <c r="I92" s="9">
        <v>11</v>
      </c>
      <c r="J92" s="9">
        <v>6</v>
      </c>
      <c r="K92" s="9">
        <v>4</v>
      </c>
      <c r="L92" s="9">
        <v>9</v>
      </c>
      <c r="M92" s="9">
        <v>10</v>
      </c>
      <c r="N92" s="9">
        <v>5</v>
      </c>
      <c r="O92" s="14">
        <f>SUM(AT_MUN[[#This Row],[JAN]:[DEZ]])</f>
        <v>87</v>
      </c>
      <c r="P92" s="15">
        <f>AT_MUN[[#This Row],[2019]]/AT_MUN[[#Totals],[2019]]</f>
        <v>2.1994690936670458E-3</v>
      </c>
    </row>
    <row r="93" spans="1:16" x14ac:dyDescent="0.2">
      <c r="A93" s="1" t="s">
        <v>135</v>
      </c>
      <c r="B93" s="1" t="s">
        <v>79</v>
      </c>
      <c r="C93" s="9">
        <v>13</v>
      </c>
      <c r="D93" s="9">
        <v>8</v>
      </c>
      <c r="E93" s="9">
        <v>16</v>
      </c>
      <c r="F93" s="9">
        <v>11</v>
      </c>
      <c r="G93" s="9">
        <v>19</v>
      </c>
      <c r="H93" s="9">
        <v>10</v>
      </c>
      <c r="I93" s="9">
        <v>11</v>
      </c>
      <c r="J93" s="9">
        <v>8</v>
      </c>
      <c r="K93" s="9">
        <v>11</v>
      </c>
      <c r="L93" s="9">
        <v>12</v>
      </c>
      <c r="M93" s="9">
        <v>12</v>
      </c>
      <c r="N93" s="9">
        <v>20</v>
      </c>
      <c r="O93" s="14">
        <f>SUM(AT_MUN[[#This Row],[JAN]:[DEZ]])</f>
        <v>151</v>
      </c>
      <c r="P93" s="15">
        <f>AT_MUN[[#This Row],[2019]]/AT_MUN[[#Totals],[2019]]</f>
        <v>3.8174693464795855E-3</v>
      </c>
    </row>
    <row r="94" spans="1:16" x14ac:dyDescent="0.2">
      <c r="A94" s="1" t="s">
        <v>43</v>
      </c>
      <c r="C94" s="9">
        <v>33</v>
      </c>
      <c r="D94" s="9">
        <v>42</v>
      </c>
      <c r="E94" s="9">
        <v>44</v>
      </c>
      <c r="F94" s="9">
        <v>51</v>
      </c>
      <c r="G94" s="9">
        <v>42</v>
      </c>
      <c r="H94" s="9">
        <v>49</v>
      </c>
      <c r="I94" s="9">
        <v>45</v>
      </c>
      <c r="J94" s="9">
        <v>59</v>
      </c>
      <c r="K94" s="9">
        <v>57</v>
      </c>
      <c r="L94" s="9">
        <v>67</v>
      </c>
      <c r="M94" s="9">
        <v>56</v>
      </c>
      <c r="N94" s="9">
        <v>60</v>
      </c>
      <c r="O94" s="14">
        <f>SUM(AT_MUN[[#This Row],[JAN]:[DEZ]])</f>
        <v>605</v>
      </c>
      <c r="P94" s="15">
        <f>AT_MUN[[#This Row],[2019]]/AT_MUN[[#Totals],[2019]]</f>
        <v>1.5295158639868538E-2</v>
      </c>
    </row>
    <row r="95" spans="1:16" x14ac:dyDescent="0.2">
      <c r="A95" s="118"/>
      <c r="B95" s="118"/>
      <c r="C95" s="119">
        <f>SUBTOTAL(109,AT_MUN[JAN])</f>
        <v>3363</v>
      </c>
      <c r="D95" s="119">
        <f>SUBTOTAL(109,AT_MUN[FEV])</f>
        <v>2999</v>
      </c>
      <c r="E95" s="119">
        <f>SUBTOTAL(109,AT_MUN[MAR])</f>
        <v>3527</v>
      </c>
      <c r="F95" s="119">
        <f>SUBTOTAL(109,AT_MUN[ABR])</f>
        <v>3460</v>
      </c>
      <c r="G95" s="119">
        <f>SUBTOTAL(109,AT_MUN[MAI])</f>
        <v>3562</v>
      </c>
      <c r="H95" s="119">
        <f>SUBTOTAL(109,AT_MUN[JUN])</f>
        <v>3299</v>
      </c>
      <c r="I95" s="119">
        <f>SUBTOTAL(109,AT_MUN[JUL])</f>
        <v>2755</v>
      </c>
      <c r="J95" s="119">
        <f>SUBTOTAL(109,AT_MUN[AGO])</f>
        <v>2999</v>
      </c>
      <c r="K95" s="119">
        <f>SUBTOTAL(109,AT_MUN[SET])</f>
        <v>3277</v>
      </c>
      <c r="L95" s="119">
        <f>SUBTOTAL(109,AT_MUN[OUT])</f>
        <v>3369</v>
      </c>
      <c r="M95" s="119">
        <f>SUBTOTAL(109,AT_MUN[NOV])</f>
        <v>3386</v>
      </c>
      <c r="N95" s="119">
        <f>SUBTOTAL(109,AT_MUN[DEZ])</f>
        <v>3559</v>
      </c>
      <c r="O95" s="120">
        <f>SUBTOTAL(109,AT_MUN[2019])</f>
        <v>39555</v>
      </c>
      <c r="P95" s="122"/>
    </row>
  </sheetData>
  <mergeCells count="8">
    <mergeCell ref="A1:P1"/>
    <mergeCell ref="A13:P13"/>
    <mergeCell ref="A25:P25"/>
    <mergeCell ref="A49:P49"/>
    <mergeCell ref="A85:P85"/>
    <mergeCell ref="A61:P61"/>
    <mergeCell ref="A37:P37"/>
    <mergeCell ref="A73:P73"/>
  </mergeCells>
  <pageMargins left="0.511811024" right="0.511811024" top="0.78740157499999996" bottom="0.78740157499999996" header="0.31496062000000002" footer="0.31496062000000002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FFC000"/>
  </sheetPr>
  <dimension ref="A1:Q118"/>
  <sheetViews>
    <sheetView zoomScaleNormal="100" workbookViewId="0">
      <selection sqref="A1:O1"/>
    </sheetView>
  </sheetViews>
  <sheetFormatPr defaultRowHeight="11.25" x14ac:dyDescent="0.2"/>
  <cols>
    <col min="1" max="1" width="33.7109375" style="33" customWidth="1"/>
    <col min="2" max="13" width="9.140625" style="33"/>
    <col min="14" max="14" width="9.140625" style="35"/>
    <col min="15" max="15" width="9.140625" style="103"/>
    <col min="16" max="16384" width="9.140625" style="33"/>
  </cols>
  <sheetData>
    <row r="1" spans="1:15" ht="17.25" thickTop="1" thickBot="1" x14ac:dyDescent="0.3">
      <c r="A1" s="199" t="s">
        <v>275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 ht="12" thickTop="1" x14ac:dyDescent="0.2">
      <c r="A2" s="34" t="s">
        <v>80</v>
      </c>
      <c r="B2" s="34" t="s">
        <v>63</v>
      </c>
      <c r="C2" s="34" t="s">
        <v>64</v>
      </c>
      <c r="D2" s="34" t="s">
        <v>65</v>
      </c>
      <c r="E2" s="34" t="s">
        <v>66</v>
      </c>
      <c r="F2" s="34" t="s">
        <v>67</v>
      </c>
      <c r="G2" s="34" t="s">
        <v>68</v>
      </c>
      <c r="H2" s="34" t="s">
        <v>69</v>
      </c>
      <c r="I2" s="34" t="s">
        <v>70</v>
      </c>
      <c r="J2" s="34" t="s">
        <v>71</v>
      </c>
      <c r="K2" s="34" t="s">
        <v>72</v>
      </c>
      <c r="L2" s="34" t="s">
        <v>73</v>
      </c>
      <c r="M2" s="34" t="s">
        <v>74</v>
      </c>
      <c r="N2" s="106" t="s">
        <v>241</v>
      </c>
    </row>
    <row r="3" spans="1:15" ht="12" thickBot="1" x14ac:dyDescent="0.25">
      <c r="A3" s="33" t="s">
        <v>81</v>
      </c>
      <c r="B3" s="35">
        <v>700</v>
      </c>
      <c r="C3" s="35">
        <v>588</v>
      </c>
      <c r="D3" s="35">
        <v>686</v>
      </c>
      <c r="E3" s="35">
        <v>694</v>
      </c>
      <c r="F3" s="35">
        <v>675</v>
      </c>
      <c r="G3" s="35">
        <v>721</v>
      </c>
      <c r="H3" s="35">
        <v>615</v>
      </c>
      <c r="I3" s="35">
        <v>676</v>
      </c>
      <c r="J3" s="35">
        <v>671</v>
      </c>
      <c r="K3" s="35">
        <v>741</v>
      </c>
      <c r="L3" s="35"/>
      <c r="M3" s="35"/>
      <c r="N3" s="92">
        <f>SUM(ATT[[Jan]:[Dez]])</f>
        <v>6767</v>
      </c>
    </row>
    <row r="4" spans="1:15" ht="16.5" customHeight="1" thickTop="1" thickBot="1" x14ac:dyDescent="0.25">
      <c r="A4" s="203" t="s">
        <v>82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5" ht="12" thickTop="1" x14ac:dyDescent="0.2">
      <c r="A5" s="34" t="s">
        <v>82</v>
      </c>
      <c r="B5" s="34" t="s">
        <v>63</v>
      </c>
      <c r="C5" s="34" t="s">
        <v>64</v>
      </c>
      <c r="D5" s="34" t="s">
        <v>65</v>
      </c>
      <c r="E5" s="34" t="s">
        <v>66</v>
      </c>
      <c r="F5" s="34" t="s">
        <v>67</v>
      </c>
      <c r="G5" s="34" t="s">
        <v>68</v>
      </c>
      <c r="H5" s="34" t="s">
        <v>69</v>
      </c>
      <c r="I5" s="34" t="s">
        <v>70</v>
      </c>
      <c r="J5" s="34" t="s">
        <v>71</v>
      </c>
      <c r="K5" s="34" t="s">
        <v>72</v>
      </c>
      <c r="L5" s="34" t="s">
        <v>73</v>
      </c>
      <c r="M5" s="34" t="s">
        <v>74</v>
      </c>
      <c r="N5" s="100" t="s">
        <v>276</v>
      </c>
      <c r="O5" s="104" t="s">
        <v>244</v>
      </c>
    </row>
    <row r="6" spans="1:15" x14ac:dyDescent="0.2">
      <c r="A6" s="33" t="s">
        <v>83</v>
      </c>
      <c r="B6" s="35">
        <v>545</v>
      </c>
      <c r="C6" s="35">
        <v>451</v>
      </c>
      <c r="D6" s="35">
        <v>532</v>
      </c>
      <c r="E6" s="35">
        <v>517</v>
      </c>
      <c r="F6" s="35">
        <v>502</v>
      </c>
      <c r="G6" s="35">
        <v>598</v>
      </c>
      <c r="H6" s="35">
        <v>484</v>
      </c>
      <c r="I6" s="35">
        <v>522</v>
      </c>
      <c r="J6" s="35">
        <v>516</v>
      </c>
      <c r="K6" s="35">
        <v>552</v>
      </c>
      <c r="L6" s="35"/>
      <c r="M6" s="35"/>
      <c r="N6" s="92">
        <f>SUM(SEXO22[[#This Row],[Jan]:[Dez]])</f>
        <v>5219</v>
      </c>
      <c r="O6" s="103">
        <f>SEXO22[[#This Row],[ 2.019 ]]/SEXO22[[#Totals],[ 2.019 ]]</f>
        <v>0.77124279592138323</v>
      </c>
    </row>
    <row r="7" spans="1:15" x14ac:dyDescent="0.2">
      <c r="A7" s="33" t="s">
        <v>84</v>
      </c>
      <c r="B7" s="35">
        <v>155</v>
      </c>
      <c r="C7" s="35">
        <v>137</v>
      </c>
      <c r="D7" s="35">
        <v>154</v>
      </c>
      <c r="E7" s="35">
        <v>177</v>
      </c>
      <c r="F7" s="35">
        <v>173</v>
      </c>
      <c r="G7" s="35">
        <v>123</v>
      </c>
      <c r="H7" s="35">
        <v>131</v>
      </c>
      <c r="I7" s="35">
        <v>154</v>
      </c>
      <c r="J7" s="35">
        <v>155</v>
      </c>
      <c r="K7" s="35">
        <v>189</v>
      </c>
      <c r="L7" s="35"/>
      <c r="M7" s="35"/>
      <c r="N7" s="92">
        <f>SUM(SEXO22[[#This Row],[Jan]:[Dez]])</f>
        <v>1548</v>
      </c>
      <c r="O7" s="103">
        <f>SEXO22[[#This Row],[ 2.019 ]]/SEXO22[[#Totals],[ 2.019 ]]</f>
        <v>0.22875720407861683</v>
      </c>
    </row>
    <row r="8" spans="1:15" x14ac:dyDescent="0.2">
      <c r="A8" s="33" t="s">
        <v>85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/>
      <c r="M8" s="35"/>
      <c r="N8" s="92">
        <f>SUM(SEXO22[[#This Row],[Jan]:[Dez]])</f>
        <v>0</v>
      </c>
      <c r="O8" s="103">
        <f>SEXO22[[#This Row],[ 2.019 ]]/SEXO22[[#Totals],[ 2.019 ]]</f>
        <v>0</v>
      </c>
    </row>
    <row r="9" spans="1:15" ht="12" thickBot="1" x14ac:dyDescent="0.25">
      <c r="A9" s="95"/>
      <c r="B9" s="94">
        <f>SUBTOTAL(109,SEXO22[Jan])</f>
        <v>700</v>
      </c>
      <c r="C9" s="94">
        <f>SUBTOTAL(109,SEXO22[Fev])</f>
        <v>588</v>
      </c>
      <c r="D9" s="94">
        <f>SUBTOTAL(109,SEXO22[Mar])</f>
        <v>686</v>
      </c>
      <c r="E9" s="94">
        <f>SUBTOTAL(109,SEXO22[Abr])</f>
        <v>694</v>
      </c>
      <c r="F9" s="94">
        <f>SUBTOTAL(109,SEXO22[Mai])</f>
        <v>675</v>
      </c>
      <c r="G9" s="94">
        <f>SUBTOTAL(109,SEXO22[Jun])</f>
        <v>721</v>
      </c>
      <c r="H9" s="94">
        <f>SUBTOTAL(109,SEXO22[Jul])</f>
        <v>615</v>
      </c>
      <c r="I9" s="94">
        <f>SUBTOTAL(109,SEXO22[Ago])</f>
        <v>676</v>
      </c>
      <c r="J9" s="94">
        <f>SUBTOTAL(109,SEXO22[Set])</f>
        <v>671</v>
      </c>
      <c r="K9" s="94">
        <f>SUBTOTAL(109,SEXO22[Out])</f>
        <v>741</v>
      </c>
      <c r="L9" s="94">
        <f>SUBTOTAL(109,SEXO22[Nov])</f>
        <v>0</v>
      </c>
      <c r="M9" s="94">
        <f>SUBTOTAL(109,SEXO22[Dez])</f>
        <v>0</v>
      </c>
      <c r="N9" s="94">
        <f>SUBTOTAL(109,SEXO22[ 2.019 ])</f>
        <v>6767</v>
      </c>
      <c r="O9" s="104"/>
    </row>
    <row r="10" spans="1:15" ht="14.25" thickTop="1" thickBot="1" x14ac:dyDescent="0.25">
      <c r="A10" s="201" t="s">
        <v>86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</row>
    <row r="11" spans="1:15" s="98" customFormat="1" ht="12" thickTop="1" x14ac:dyDescent="0.2">
      <c r="A11" s="97" t="s">
        <v>86</v>
      </c>
      <c r="B11" s="97" t="s">
        <v>63</v>
      </c>
      <c r="C11" s="97" t="s">
        <v>64</v>
      </c>
      <c r="D11" s="97" t="s">
        <v>65</v>
      </c>
      <c r="E11" s="97" t="s">
        <v>66</v>
      </c>
      <c r="F11" s="97" t="s">
        <v>67</v>
      </c>
      <c r="G11" s="97" t="s">
        <v>68</v>
      </c>
      <c r="H11" s="97" t="s">
        <v>69</v>
      </c>
      <c r="I11" s="97" t="s">
        <v>70</v>
      </c>
      <c r="J11" s="97" t="s">
        <v>71</v>
      </c>
      <c r="K11" s="97" t="s">
        <v>72</v>
      </c>
      <c r="L11" s="97" t="s">
        <v>73</v>
      </c>
      <c r="M11" s="97" t="s">
        <v>74</v>
      </c>
      <c r="N11" s="101" t="s">
        <v>276</v>
      </c>
      <c r="O11" s="105" t="s">
        <v>244</v>
      </c>
    </row>
    <row r="12" spans="1:15" x14ac:dyDescent="0.2">
      <c r="A12" s="37" t="s">
        <v>87</v>
      </c>
      <c r="B12" s="35">
        <v>192</v>
      </c>
      <c r="C12" s="35">
        <v>189</v>
      </c>
      <c r="D12" s="35">
        <v>208</v>
      </c>
      <c r="E12" s="35">
        <v>244</v>
      </c>
      <c r="F12" s="35">
        <v>222</v>
      </c>
      <c r="G12" s="35">
        <v>240</v>
      </c>
      <c r="H12" s="35">
        <v>195</v>
      </c>
      <c r="I12" s="35">
        <v>218</v>
      </c>
      <c r="J12" s="35">
        <v>203</v>
      </c>
      <c r="K12" s="35">
        <v>250</v>
      </c>
      <c r="L12" s="35"/>
      <c r="M12" s="35"/>
      <c r="N12" s="92">
        <f>SUM(NA[[#This Row],[Jan]:[Dez]])</f>
        <v>2161</v>
      </c>
      <c r="O12" s="103">
        <f>NA[[#This Row],[ 2.019 ]]/NA[[#Totals],[ 2.019 ]]</f>
        <v>0.31934387468597608</v>
      </c>
    </row>
    <row r="13" spans="1:15" x14ac:dyDescent="0.2">
      <c r="A13" s="37" t="s">
        <v>88</v>
      </c>
      <c r="B13" s="35">
        <v>52</v>
      </c>
      <c r="C13" s="35">
        <v>56</v>
      </c>
      <c r="D13" s="35">
        <v>65</v>
      </c>
      <c r="E13" s="35">
        <v>53</v>
      </c>
      <c r="F13" s="35">
        <v>80</v>
      </c>
      <c r="G13" s="35">
        <v>54</v>
      </c>
      <c r="H13" s="35">
        <v>48</v>
      </c>
      <c r="I13" s="35">
        <v>68</v>
      </c>
      <c r="J13" s="35">
        <v>63</v>
      </c>
      <c r="K13" s="35">
        <v>64</v>
      </c>
      <c r="L13" s="35"/>
      <c r="M13" s="35"/>
      <c r="N13" s="92">
        <f>SUM(NA[[#This Row],[Jan]:[Dez]])</f>
        <v>603</v>
      </c>
      <c r="O13" s="103">
        <f>NA[[#This Row],[ 2.019 ]]/NA[[#Totals],[ 2.019 ]]</f>
        <v>8.9108910891089105E-2</v>
      </c>
    </row>
    <row r="14" spans="1:15" x14ac:dyDescent="0.2">
      <c r="A14" s="38" t="s">
        <v>89</v>
      </c>
      <c r="B14" s="35">
        <v>379</v>
      </c>
      <c r="C14" s="35">
        <v>286</v>
      </c>
      <c r="D14" s="35">
        <v>357</v>
      </c>
      <c r="E14" s="35">
        <v>338</v>
      </c>
      <c r="F14" s="35">
        <v>252</v>
      </c>
      <c r="G14" s="35">
        <v>368</v>
      </c>
      <c r="H14" s="35">
        <v>331</v>
      </c>
      <c r="I14" s="35">
        <v>326</v>
      </c>
      <c r="J14" s="35">
        <v>360</v>
      </c>
      <c r="K14" s="35">
        <v>378</v>
      </c>
      <c r="L14" s="35"/>
      <c r="M14" s="35"/>
      <c r="N14" s="92">
        <f>SUM(NA[[#This Row],[Jan]:[Dez]])</f>
        <v>3375</v>
      </c>
      <c r="O14" s="103">
        <f>NA[[#This Row],[ 2.019 ]]/NA[[#Totals],[ 2.019 ]]</f>
        <v>0.49874390424117038</v>
      </c>
    </row>
    <row r="15" spans="1:15" x14ac:dyDescent="0.2">
      <c r="A15" s="37" t="s">
        <v>90</v>
      </c>
      <c r="B15" s="35">
        <v>65</v>
      </c>
      <c r="C15" s="35">
        <v>32</v>
      </c>
      <c r="D15" s="35">
        <v>27</v>
      </c>
      <c r="E15" s="35">
        <v>47</v>
      </c>
      <c r="F15" s="35">
        <v>101</v>
      </c>
      <c r="G15" s="35">
        <v>35</v>
      </c>
      <c r="H15" s="35">
        <v>26</v>
      </c>
      <c r="I15" s="35">
        <v>48</v>
      </c>
      <c r="J15" s="35">
        <v>28</v>
      </c>
      <c r="K15" s="35">
        <v>41</v>
      </c>
      <c r="L15" s="35"/>
      <c r="M15" s="35"/>
      <c r="N15" s="92">
        <f>SUM(NA[[#This Row],[Jan]:[Dez]])</f>
        <v>450</v>
      </c>
      <c r="O15" s="103">
        <f>NA[[#This Row],[ 2.019 ]]/NA[[#Totals],[ 2.019 ]]</f>
        <v>6.6499187232156046E-2</v>
      </c>
    </row>
    <row r="16" spans="1:15" x14ac:dyDescent="0.2">
      <c r="A16" s="37" t="s">
        <v>91</v>
      </c>
      <c r="B16" s="35">
        <v>5</v>
      </c>
      <c r="C16" s="35">
        <v>11</v>
      </c>
      <c r="D16" s="35">
        <v>16</v>
      </c>
      <c r="E16" s="35">
        <v>6</v>
      </c>
      <c r="F16" s="35">
        <v>8</v>
      </c>
      <c r="G16" s="35">
        <v>16</v>
      </c>
      <c r="H16" s="35">
        <v>13</v>
      </c>
      <c r="I16" s="35">
        <v>8</v>
      </c>
      <c r="J16" s="35">
        <v>10</v>
      </c>
      <c r="K16" s="35">
        <v>7</v>
      </c>
      <c r="L16" s="35"/>
      <c r="M16" s="35"/>
      <c r="N16" s="92">
        <f>SUM(NA[[#This Row],[Jan]:[Dez]])</f>
        <v>100</v>
      </c>
      <c r="O16" s="103">
        <f>NA[[#This Row],[ 2.019 ]]/NA[[#Totals],[ 2.019 ]]</f>
        <v>1.4777597162701345E-2</v>
      </c>
    </row>
    <row r="17" spans="1:15" x14ac:dyDescent="0.2">
      <c r="A17" s="39" t="s">
        <v>92</v>
      </c>
      <c r="B17" s="35">
        <v>2</v>
      </c>
      <c r="C17" s="35">
        <v>3</v>
      </c>
      <c r="D17" s="35">
        <v>3</v>
      </c>
      <c r="E17" s="35">
        <v>2</v>
      </c>
      <c r="F17" s="35">
        <v>10</v>
      </c>
      <c r="G17" s="35">
        <v>2</v>
      </c>
      <c r="H17" s="35">
        <v>0</v>
      </c>
      <c r="I17" s="35">
        <v>7</v>
      </c>
      <c r="J17" s="35">
        <v>2</v>
      </c>
      <c r="K17" s="35">
        <v>0</v>
      </c>
      <c r="L17" s="35"/>
      <c r="M17" s="35"/>
      <c r="N17" s="92">
        <f>SUM(NA[[#This Row],[Jan]:[Dez]])</f>
        <v>31</v>
      </c>
      <c r="O17" s="103">
        <f>NA[[#This Row],[ 2.019 ]]/NA[[#Totals],[ 2.019 ]]</f>
        <v>4.5810551204374167E-3</v>
      </c>
    </row>
    <row r="18" spans="1:15" x14ac:dyDescent="0.2">
      <c r="A18" s="37" t="s">
        <v>93</v>
      </c>
      <c r="B18" s="35">
        <v>5</v>
      </c>
      <c r="C18" s="35">
        <v>11</v>
      </c>
      <c r="D18" s="35">
        <v>10</v>
      </c>
      <c r="E18" s="35">
        <v>4</v>
      </c>
      <c r="F18" s="35">
        <v>2</v>
      </c>
      <c r="G18" s="35">
        <v>6</v>
      </c>
      <c r="H18" s="35">
        <v>2</v>
      </c>
      <c r="I18" s="35">
        <v>1</v>
      </c>
      <c r="J18" s="35">
        <v>5</v>
      </c>
      <c r="K18" s="35">
        <v>1</v>
      </c>
      <c r="L18" s="35"/>
      <c r="M18" s="35"/>
      <c r="N18" s="92">
        <f>SUM(NA[[#This Row],[Jan]:[Dez]])</f>
        <v>47</v>
      </c>
      <c r="O18" s="103">
        <f>NA[[#This Row],[ 2.019 ]]/NA[[#Totals],[ 2.019 ]]</f>
        <v>6.9454706664696317E-3</v>
      </c>
    </row>
    <row r="19" spans="1:15" ht="12" thickBot="1" x14ac:dyDescent="0.25">
      <c r="A19" s="99"/>
      <c r="B19" s="94">
        <f>SUBTOTAL(109,NA[Jan])</f>
        <v>700</v>
      </c>
      <c r="C19" s="94">
        <f>SUBTOTAL(109,NA[Fev])</f>
        <v>588</v>
      </c>
      <c r="D19" s="94">
        <f>SUBTOTAL(109,NA[Mar])</f>
        <v>686</v>
      </c>
      <c r="E19" s="94">
        <f>SUBTOTAL(109,NA[Abr])</f>
        <v>694</v>
      </c>
      <c r="F19" s="94">
        <f>SUBTOTAL(109,NA[Mai])</f>
        <v>675</v>
      </c>
      <c r="G19" s="94">
        <f>SUBTOTAL(109,NA[Jun])</f>
        <v>721</v>
      </c>
      <c r="H19" s="94">
        <f>SUBTOTAL(109,NA[Jul])</f>
        <v>615</v>
      </c>
      <c r="I19" s="94">
        <f>SUBTOTAL(109,NA[Ago])</f>
        <v>676</v>
      </c>
      <c r="J19" s="94">
        <f>SUBTOTAL(109,NA[Set])</f>
        <v>671</v>
      </c>
      <c r="K19" s="94">
        <f>SUBTOTAL(109,NA[Out])</f>
        <v>741</v>
      </c>
      <c r="L19" s="94">
        <f>SUBTOTAL(109,NA[Nov])</f>
        <v>0</v>
      </c>
      <c r="M19" s="94">
        <f>SUBTOTAL(109,NA[Dez])</f>
        <v>0</v>
      </c>
      <c r="N19" s="94">
        <f>SUBTOTAL(109,NA[ 2.019 ])</f>
        <v>6767</v>
      </c>
      <c r="O19" s="104"/>
    </row>
    <row r="20" spans="1:15" ht="13.5" thickTop="1" x14ac:dyDescent="0.2">
      <c r="A20" s="201" t="s">
        <v>94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</row>
    <row r="21" spans="1:15" x14ac:dyDescent="0.2">
      <c r="A21" s="34" t="s">
        <v>95</v>
      </c>
      <c r="B21" s="34" t="s">
        <v>63</v>
      </c>
      <c r="C21" s="34" t="s">
        <v>64</v>
      </c>
      <c r="D21" s="34" t="s">
        <v>65</v>
      </c>
      <c r="E21" s="34" t="s">
        <v>66</v>
      </c>
      <c r="F21" s="34" t="s">
        <v>67</v>
      </c>
      <c r="G21" s="34" t="s">
        <v>68</v>
      </c>
      <c r="H21" s="34" t="s">
        <v>69</v>
      </c>
      <c r="I21" s="34" t="s">
        <v>70</v>
      </c>
      <c r="J21" s="34" t="s">
        <v>71</v>
      </c>
      <c r="K21" s="34" t="s">
        <v>72</v>
      </c>
      <c r="L21" s="34" t="s">
        <v>73</v>
      </c>
      <c r="M21" s="34" t="s">
        <v>74</v>
      </c>
      <c r="N21" s="102" t="s">
        <v>276</v>
      </c>
    </row>
    <row r="22" spans="1:15" x14ac:dyDescent="0.2">
      <c r="A22" s="40" t="s">
        <v>96</v>
      </c>
      <c r="B22" s="35">
        <v>165</v>
      </c>
      <c r="C22" s="35">
        <v>119</v>
      </c>
      <c r="D22" s="35">
        <v>146</v>
      </c>
      <c r="E22" s="35">
        <v>136</v>
      </c>
      <c r="F22" s="35">
        <v>146</v>
      </c>
      <c r="G22" s="35">
        <v>199</v>
      </c>
      <c r="H22" s="35">
        <v>209</v>
      </c>
      <c r="I22" s="35">
        <v>125</v>
      </c>
      <c r="J22" s="35">
        <v>105</v>
      </c>
      <c r="K22" s="35">
        <v>103</v>
      </c>
      <c r="L22" s="35"/>
      <c r="M22" s="35"/>
      <c r="N22" s="92">
        <f>SUM(FRA[[#This Row],[Jan]:[Dez]])</f>
        <v>1453</v>
      </c>
    </row>
    <row r="23" spans="1:15" x14ac:dyDescent="0.2">
      <c r="A23" s="40" t="s">
        <v>97</v>
      </c>
      <c r="B23" s="35">
        <v>218</v>
      </c>
      <c r="C23" s="35">
        <v>141</v>
      </c>
      <c r="D23" s="35">
        <v>187</v>
      </c>
      <c r="E23" s="35">
        <v>146</v>
      </c>
      <c r="F23" s="35">
        <v>148</v>
      </c>
      <c r="G23" s="35">
        <v>182</v>
      </c>
      <c r="H23" s="35">
        <v>157</v>
      </c>
      <c r="I23" s="35">
        <v>143</v>
      </c>
      <c r="J23" s="35">
        <v>151</v>
      </c>
      <c r="K23" s="35">
        <v>151</v>
      </c>
      <c r="L23" s="35"/>
      <c r="M23" s="35"/>
      <c r="N23" s="92">
        <f>SUM(FRA[[#This Row],[Jan]:[Dez]])</f>
        <v>1624</v>
      </c>
    </row>
    <row r="24" spans="1:15" x14ac:dyDescent="0.2">
      <c r="A24" s="41" t="s">
        <v>98</v>
      </c>
      <c r="B24" s="35">
        <v>37</v>
      </c>
      <c r="C24" s="35">
        <v>26</v>
      </c>
      <c r="D24" s="35">
        <v>18</v>
      </c>
      <c r="E24" s="35">
        <v>23</v>
      </c>
      <c r="F24" s="35">
        <v>14</v>
      </c>
      <c r="G24" s="35">
        <v>30</v>
      </c>
      <c r="H24" s="35">
        <v>25</v>
      </c>
      <c r="I24" s="35">
        <v>21</v>
      </c>
      <c r="J24" s="35">
        <v>29</v>
      </c>
      <c r="K24" s="35">
        <v>39</v>
      </c>
      <c r="L24" s="35"/>
      <c r="M24" s="35"/>
      <c r="N24" s="92">
        <f>SUM(FRA[[#This Row],[Jan]:[Dez]])</f>
        <v>262</v>
      </c>
    </row>
    <row r="25" spans="1:15" x14ac:dyDescent="0.2">
      <c r="A25" s="36" t="s">
        <v>99</v>
      </c>
      <c r="B25" s="35">
        <v>214</v>
      </c>
      <c r="C25" s="35">
        <v>179</v>
      </c>
      <c r="D25" s="35">
        <v>221</v>
      </c>
      <c r="E25" s="35">
        <v>167</v>
      </c>
      <c r="F25" s="35">
        <v>187</v>
      </c>
      <c r="G25" s="35">
        <v>210</v>
      </c>
      <c r="H25" s="35">
        <v>170</v>
      </c>
      <c r="I25" s="35">
        <v>196</v>
      </c>
      <c r="J25" s="35">
        <v>151</v>
      </c>
      <c r="K25" s="35">
        <v>221</v>
      </c>
      <c r="L25" s="35"/>
      <c r="M25" s="35"/>
      <c r="N25" s="92">
        <f>SUM(FRA[[#This Row],[Jan]:[Dez]])</f>
        <v>1916</v>
      </c>
    </row>
    <row r="26" spans="1:15" ht="11.25" customHeight="1" x14ac:dyDescent="0.2">
      <c r="A26" s="40" t="s">
        <v>100</v>
      </c>
      <c r="B26" s="35">
        <v>117</v>
      </c>
      <c r="C26" s="35">
        <v>62</v>
      </c>
      <c r="D26" s="35">
        <v>106</v>
      </c>
      <c r="E26" s="35">
        <v>103</v>
      </c>
      <c r="F26" s="35">
        <v>70</v>
      </c>
      <c r="G26" s="35">
        <v>118</v>
      </c>
      <c r="H26" s="35">
        <v>109</v>
      </c>
      <c r="I26" s="35">
        <v>99</v>
      </c>
      <c r="J26" s="35">
        <v>86</v>
      </c>
      <c r="K26" s="35">
        <v>87</v>
      </c>
      <c r="L26" s="35"/>
      <c r="M26" s="35"/>
      <c r="N26" s="92">
        <f>SUM(FRA[[#This Row],[Jan]:[Dez]])</f>
        <v>957</v>
      </c>
    </row>
    <row r="27" spans="1:15" ht="11.25" customHeight="1" thickBot="1" x14ac:dyDescent="0.25">
      <c r="A27" s="52"/>
      <c r="B27" s="51">
        <f>SUBTOTAL(109,FRA[Jan])</f>
        <v>751</v>
      </c>
      <c r="C27" s="51">
        <f>SUBTOTAL(109,FRA[Fev])</f>
        <v>527</v>
      </c>
      <c r="D27" s="51">
        <f>SUBTOTAL(109,FRA[Mar])</f>
        <v>678</v>
      </c>
      <c r="E27" s="51">
        <f>SUBTOTAL(109,FRA[Abr])</f>
        <v>575</v>
      </c>
      <c r="F27" s="51">
        <f>SUBTOTAL(109,FRA[Mai])</f>
        <v>565</v>
      </c>
      <c r="G27" s="51">
        <f>SUBTOTAL(109,FRA[Jun])</f>
        <v>739</v>
      </c>
      <c r="H27" s="51">
        <f>SUBTOTAL(109,FRA[Jul])</f>
        <v>670</v>
      </c>
      <c r="I27" s="51">
        <f>SUBTOTAL(109,FRA[Ago])</f>
        <v>584</v>
      </c>
      <c r="J27" s="51">
        <f>SUBTOTAL(109,FRA[Set])</f>
        <v>522</v>
      </c>
      <c r="K27" s="51">
        <f>SUBTOTAL(109,FRA[Out])</f>
        <v>601</v>
      </c>
      <c r="L27" s="51">
        <f>SUBTOTAL(109,FRA[Nov])</f>
        <v>0</v>
      </c>
      <c r="M27" s="51">
        <f>SUBTOTAL(109,FRA[Dez])</f>
        <v>0</v>
      </c>
      <c r="N27" s="94">
        <f>SUBTOTAL(109,FRA[ 2.019 ])</f>
        <v>6212</v>
      </c>
    </row>
    <row r="28" spans="1:15" ht="13.5" thickTop="1" x14ac:dyDescent="0.2">
      <c r="A28" s="201" t="s">
        <v>101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</row>
    <row r="29" spans="1:15" x14ac:dyDescent="0.2">
      <c r="A29" s="34" t="s">
        <v>101</v>
      </c>
      <c r="B29" s="34" t="s">
        <v>63</v>
      </c>
      <c r="C29" s="34" t="s">
        <v>64</v>
      </c>
      <c r="D29" s="34" t="s">
        <v>65</v>
      </c>
      <c r="E29" s="34" t="s">
        <v>66</v>
      </c>
      <c r="F29" s="34" t="s">
        <v>67</v>
      </c>
      <c r="G29" s="34" t="s">
        <v>68</v>
      </c>
      <c r="H29" s="34" t="s">
        <v>69</v>
      </c>
      <c r="I29" s="34" t="s">
        <v>70</v>
      </c>
      <c r="J29" s="34" t="s">
        <v>71</v>
      </c>
      <c r="K29" s="34" t="s">
        <v>72</v>
      </c>
      <c r="L29" s="34" t="s">
        <v>73</v>
      </c>
      <c r="M29" s="34" t="s">
        <v>74</v>
      </c>
      <c r="N29" s="100" t="s">
        <v>276</v>
      </c>
      <c r="O29" s="104" t="s">
        <v>244</v>
      </c>
    </row>
    <row r="30" spans="1:15" x14ac:dyDescent="0.2">
      <c r="A30" s="42" t="s">
        <v>102</v>
      </c>
      <c r="B30" s="35">
        <v>44</v>
      </c>
      <c r="C30" s="35">
        <v>32</v>
      </c>
      <c r="D30" s="35">
        <v>45</v>
      </c>
      <c r="E30" s="35">
        <v>44</v>
      </c>
      <c r="F30" s="35">
        <v>26</v>
      </c>
      <c r="G30" s="35">
        <v>31</v>
      </c>
      <c r="H30" s="35">
        <v>27</v>
      </c>
      <c r="I30" s="35">
        <v>34</v>
      </c>
      <c r="J30" s="35">
        <v>28</v>
      </c>
      <c r="K30" s="35">
        <v>30</v>
      </c>
      <c r="L30" s="35"/>
      <c r="M30" s="35"/>
      <c r="N30" s="92">
        <f>SUM(FE[[#This Row],[Jan]:[Dez]])</f>
        <v>341</v>
      </c>
    </row>
    <row r="31" spans="1:15" x14ac:dyDescent="0.2">
      <c r="A31" s="42" t="s">
        <v>103</v>
      </c>
      <c r="B31" s="35">
        <v>110</v>
      </c>
      <c r="C31" s="35">
        <v>82</v>
      </c>
      <c r="D31" s="35">
        <v>93</v>
      </c>
      <c r="E31" s="35">
        <v>91</v>
      </c>
      <c r="F31" s="35">
        <v>107</v>
      </c>
      <c r="G31" s="35">
        <v>93</v>
      </c>
      <c r="H31" s="35">
        <v>86</v>
      </c>
      <c r="I31" s="35">
        <v>92</v>
      </c>
      <c r="J31" s="35">
        <v>90</v>
      </c>
      <c r="K31" s="35">
        <v>110</v>
      </c>
      <c r="L31" s="35"/>
      <c r="M31" s="35"/>
      <c r="N31" s="92">
        <f>SUM(FE[[#This Row],[Jan]:[Dez]])</f>
        <v>954</v>
      </c>
    </row>
    <row r="32" spans="1:15" x14ac:dyDescent="0.2">
      <c r="A32" s="42" t="s">
        <v>104</v>
      </c>
      <c r="B32" s="35">
        <v>356</v>
      </c>
      <c r="C32" s="35">
        <v>321</v>
      </c>
      <c r="D32" s="35">
        <v>354</v>
      </c>
      <c r="E32" s="35">
        <v>370</v>
      </c>
      <c r="F32" s="35">
        <v>358</v>
      </c>
      <c r="G32" s="35">
        <v>419</v>
      </c>
      <c r="H32" s="35">
        <v>313</v>
      </c>
      <c r="I32" s="35">
        <v>353</v>
      </c>
      <c r="J32" s="35">
        <v>375</v>
      </c>
      <c r="K32" s="35">
        <v>395</v>
      </c>
      <c r="L32" s="35"/>
      <c r="M32" s="35"/>
      <c r="N32" s="92">
        <f>SUM(FE[[#This Row],[Jan]:[Dez]])</f>
        <v>3614</v>
      </c>
    </row>
    <row r="33" spans="1:17" x14ac:dyDescent="0.2">
      <c r="A33" s="42" t="s">
        <v>105</v>
      </c>
      <c r="B33" s="35">
        <v>151</v>
      </c>
      <c r="C33" s="35">
        <v>126</v>
      </c>
      <c r="D33" s="35">
        <v>173</v>
      </c>
      <c r="E33" s="35">
        <v>150</v>
      </c>
      <c r="F33" s="35">
        <v>145</v>
      </c>
      <c r="G33" s="35">
        <v>146</v>
      </c>
      <c r="H33" s="35">
        <v>162</v>
      </c>
      <c r="I33" s="35">
        <v>171</v>
      </c>
      <c r="J33" s="35">
        <v>148</v>
      </c>
      <c r="K33" s="35">
        <v>169</v>
      </c>
      <c r="L33" s="35"/>
      <c r="M33" s="35"/>
      <c r="N33" s="92">
        <f>SUM(FE[[#This Row],[Jan]:[Dez]])</f>
        <v>1541</v>
      </c>
    </row>
    <row r="34" spans="1:17" x14ac:dyDescent="0.2">
      <c r="A34" s="42" t="s">
        <v>106</v>
      </c>
      <c r="B34" s="35">
        <v>39</v>
      </c>
      <c r="C34" s="35">
        <v>27</v>
      </c>
      <c r="D34" s="35">
        <v>21</v>
      </c>
      <c r="E34" s="35">
        <v>39</v>
      </c>
      <c r="F34" s="35">
        <v>39</v>
      </c>
      <c r="G34" s="35">
        <v>32</v>
      </c>
      <c r="H34" s="35">
        <v>27</v>
      </c>
      <c r="I34" s="35">
        <v>26</v>
      </c>
      <c r="J34" s="35">
        <v>30</v>
      </c>
      <c r="K34" s="35">
        <v>37</v>
      </c>
      <c r="L34" s="35"/>
      <c r="M34" s="35"/>
      <c r="N34" s="92">
        <f>SUM(FE[[#This Row],[Jan]:[Dez]])</f>
        <v>317</v>
      </c>
    </row>
    <row r="35" spans="1:17" ht="12" thickBot="1" x14ac:dyDescent="0.25">
      <c r="A35" s="90"/>
      <c r="B35" s="91">
        <f>SUBTOTAL(109,FE[Jan])</f>
        <v>700</v>
      </c>
      <c r="C35" s="91">
        <f>SUBTOTAL(109,FE[Fev])</f>
        <v>588</v>
      </c>
      <c r="D35" s="91">
        <f>SUBTOTAL(109,FE[Mar])</f>
        <v>686</v>
      </c>
      <c r="E35" s="91">
        <f>SUBTOTAL(109,FE[Abr])</f>
        <v>694</v>
      </c>
      <c r="F35" s="91">
        <f>SUBTOTAL(109,FE[Mai])</f>
        <v>675</v>
      </c>
      <c r="G35" s="91">
        <f>SUBTOTAL(109,FE[Jun])</f>
        <v>721</v>
      </c>
      <c r="H35" s="91">
        <f>SUBTOTAL(109,FE[Jul])</f>
        <v>615</v>
      </c>
      <c r="I35" s="91">
        <f>SUBTOTAL(109,FE[Ago])</f>
        <v>676</v>
      </c>
      <c r="J35" s="91">
        <f>SUBTOTAL(109,FE[Set])</f>
        <v>671</v>
      </c>
      <c r="K35" s="91">
        <f>SUBTOTAL(109,FE[Out])</f>
        <v>741</v>
      </c>
      <c r="L35" s="91">
        <f>SUBTOTAL(109,FE[Nov])</f>
        <v>0</v>
      </c>
      <c r="M35" s="91">
        <f>SUBTOTAL(109,FE[Dez])</f>
        <v>0</v>
      </c>
      <c r="N35" s="94">
        <f>SUBTOTAL(109,FE[ 2.019 ])</f>
        <v>6767</v>
      </c>
      <c r="O35" s="104"/>
    </row>
    <row r="36" spans="1:17" ht="13.5" thickTop="1" x14ac:dyDescent="0.2">
      <c r="A36" s="201" t="s">
        <v>107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</row>
    <row r="37" spans="1:17" x14ac:dyDescent="0.2">
      <c r="A37" s="34" t="s">
        <v>107</v>
      </c>
      <c r="B37" s="34" t="s">
        <v>63</v>
      </c>
      <c r="C37" s="34" t="s">
        <v>64</v>
      </c>
      <c r="D37" s="34" t="s">
        <v>65</v>
      </c>
      <c r="E37" s="34" t="s">
        <v>66</v>
      </c>
      <c r="F37" s="34" t="s">
        <v>67</v>
      </c>
      <c r="G37" s="34" t="s">
        <v>68</v>
      </c>
      <c r="H37" s="34" t="s">
        <v>69</v>
      </c>
      <c r="I37" s="34" t="s">
        <v>70</v>
      </c>
      <c r="J37" s="34" t="s">
        <v>71</v>
      </c>
      <c r="K37" s="34" t="s">
        <v>72</v>
      </c>
      <c r="L37" s="34" t="s">
        <v>73</v>
      </c>
      <c r="M37" s="34" t="s">
        <v>74</v>
      </c>
      <c r="N37" s="100" t="s">
        <v>276</v>
      </c>
      <c r="O37" s="104" t="s">
        <v>244</v>
      </c>
    </row>
    <row r="38" spans="1:17" x14ac:dyDescent="0.2">
      <c r="A38" s="33" t="s">
        <v>108</v>
      </c>
      <c r="B38" s="35">
        <v>94</v>
      </c>
      <c r="C38" s="35">
        <v>83</v>
      </c>
      <c r="D38" s="35">
        <v>74</v>
      </c>
      <c r="E38" s="35">
        <v>112</v>
      </c>
      <c r="F38" s="35">
        <v>75</v>
      </c>
      <c r="G38" s="35">
        <v>94</v>
      </c>
      <c r="H38" s="35">
        <v>86</v>
      </c>
      <c r="I38" s="35">
        <v>86</v>
      </c>
      <c r="J38" s="35">
        <v>112</v>
      </c>
      <c r="K38" s="35">
        <v>99</v>
      </c>
      <c r="L38" s="35"/>
      <c r="M38" s="35"/>
      <c r="N38" s="92">
        <f>SUM(DSA[[#This Row],[Jan]:[Dez]])</f>
        <v>915</v>
      </c>
      <c r="O38" s="103">
        <f>DSA[[#This Row],[ 2.019 ]]/DSA[[#Totals],[ 2.019 ]]</f>
        <v>0.1352150140387173</v>
      </c>
    </row>
    <row r="39" spans="1:17" x14ac:dyDescent="0.2">
      <c r="A39" s="33" t="s">
        <v>109</v>
      </c>
      <c r="B39" s="35">
        <v>123</v>
      </c>
      <c r="C39" s="35">
        <v>80</v>
      </c>
      <c r="D39" s="35">
        <v>60</v>
      </c>
      <c r="E39" s="35">
        <v>78</v>
      </c>
      <c r="F39" s="35">
        <v>74</v>
      </c>
      <c r="G39" s="35">
        <v>86</v>
      </c>
      <c r="H39" s="35">
        <v>82</v>
      </c>
      <c r="I39" s="35">
        <v>63</v>
      </c>
      <c r="J39" s="35">
        <v>55</v>
      </c>
      <c r="K39" s="35">
        <v>99</v>
      </c>
      <c r="L39" s="35"/>
      <c r="M39" s="35"/>
      <c r="N39" s="92">
        <f>SUM(DSA[[#This Row],[Jan]:[Dez]])</f>
        <v>800</v>
      </c>
      <c r="O39" s="103">
        <f>DSA[[#This Row],[ 2.019 ]]/DSA[[#Totals],[ 2.019 ]]</f>
        <v>0.11822077730161076</v>
      </c>
    </row>
    <row r="40" spans="1:17" x14ac:dyDescent="0.2">
      <c r="A40" s="33" t="s">
        <v>110</v>
      </c>
      <c r="B40" s="35">
        <v>100</v>
      </c>
      <c r="C40" s="35">
        <v>73</v>
      </c>
      <c r="D40" s="35">
        <v>75</v>
      </c>
      <c r="E40" s="35">
        <v>71</v>
      </c>
      <c r="F40" s="35">
        <v>88</v>
      </c>
      <c r="G40" s="35">
        <v>80</v>
      </c>
      <c r="H40" s="35">
        <v>79</v>
      </c>
      <c r="I40" s="35">
        <v>85</v>
      </c>
      <c r="J40" s="35">
        <v>73</v>
      </c>
      <c r="K40" s="35">
        <v>93</v>
      </c>
      <c r="L40" s="35"/>
      <c r="M40" s="35"/>
      <c r="N40" s="92">
        <f>SUM(DSA[[#This Row],[Jan]:[Dez]])</f>
        <v>817</v>
      </c>
      <c r="O40" s="103">
        <f>DSA[[#This Row],[ 2.019 ]]/DSA[[#Totals],[ 2.019 ]]</f>
        <v>0.12073296881926998</v>
      </c>
      <c r="Q40" s="33" t="s">
        <v>111</v>
      </c>
    </row>
    <row r="41" spans="1:17" x14ac:dyDescent="0.2">
      <c r="A41" s="33" t="s">
        <v>112</v>
      </c>
      <c r="B41" s="35">
        <v>85</v>
      </c>
      <c r="C41" s="35">
        <v>65</v>
      </c>
      <c r="D41" s="35">
        <v>70</v>
      </c>
      <c r="E41" s="35">
        <v>84</v>
      </c>
      <c r="F41" s="35">
        <v>95</v>
      </c>
      <c r="G41" s="35">
        <v>69</v>
      </c>
      <c r="H41" s="35">
        <v>46</v>
      </c>
      <c r="I41" s="35">
        <v>96</v>
      </c>
      <c r="J41" s="35">
        <v>74</v>
      </c>
      <c r="K41" s="35">
        <v>89</v>
      </c>
      <c r="L41" s="35"/>
      <c r="M41" s="35"/>
      <c r="N41" s="92">
        <f>SUM(DSA[[#This Row],[Jan]:[Dez]])</f>
        <v>773</v>
      </c>
      <c r="O41" s="103">
        <f>DSA[[#This Row],[ 2.019 ]]/DSA[[#Totals],[ 2.019 ]]</f>
        <v>0.1142308260676814</v>
      </c>
    </row>
    <row r="42" spans="1:17" x14ac:dyDescent="0.2">
      <c r="A42" s="33" t="s">
        <v>113</v>
      </c>
      <c r="B42" s="35">
        <v>61</v>
      </c>
      <c r="C42" s="35">
        <v>81</v>
      </c>
      <c r="D42" s="35">
        <v>99</v>
      </c>
      <c r="E42" s="35">
        <v>100</v>
      </c>
      <c r="F42" s="35">
        <v>100</v>
      </c>
      <c r="G42" s="35">
        <v>109</v>
      </c>
      <c r="H42" s="35">
        <v>71</v>
      </c>
      <c r="I42" s="35">
        <v>83</v>
      </c>
      <c r="J42" s="35">
        <v>85</v>
      </c>
      <c r="K42" s="35">
        <v>94</v>
      </c>
      <c r="L42" s="35"/>
      <c r="M42" s="35"/>
      <c r="N42" s="92">
        <f>SUM(DSA[[#This Row],[Jan]:[Dez]])</f>
        <v>883</v>
      </c>
      <c r="O42" s="103">
        <f>DSA[[#This Row],[ 2.019 ]]/DSA[[#Totals],[ 2.019 ]]</f>
        <v>0.13048618294665287</v>
      </c>
    </row>
    <row r="43" spans="1:17" x14ac:dyDescent="0.2">
      <c r="A43" s="33" t="s">
        <v>114</v>
      </c>
      <c r="B43" s="35">
        <v>84</v>
      </c>
      <c r="C43" s="35">
        <v>96</v>
      </c>
      <c r="D43" s="35">
        <v>143</v>
      </c>
      <c r="E43" s="35">
        <v>118</v>
      </c>
      <c r="F43" s="35">
        <v>106</v>
      </c>
      <c r="G43" s="35">
        <v>119</v>
      </c>
      <c r="H43" s="35">
        <v>107</v>
      </c>
      <c r="I43" s="35">
        <v>126</v>
      </c>
      <c r="J43" s="35">
        <v>117</v>
      </c>
      <c r="K43" s="35">
        <v>111</v>
      </c>
      <c r="L43" s="35"/>
      <c r="M43" s="35"/>
      <c r="N43" s="92">
        <f>SUM(DSA[[#This Row],[Jan]:[Dez]])</f>
        <v>1127</v>
      </c>
      <c r="O43" s="103">
        <f>DSA[[#This Row],[ 2.019 ]]/DSA[[#Totals],[ 2.019 ]]</f>
        <v>0.16654352002364414</v>
      </c>
    </row>
    <row r="44" spans="1:17" x14ac:dyDescent="0.2">
      <c r="A44" s="33" t="s">
        <v>115</v>
      </c>
      <c r="B44" s="35">
        <v>151</v>
      </c>
      <c r="C44" s="35">
        <v>108</v>
      </c>
      <c r="D44" s="35">
        <v>164</v>
      </c>
      <c r="E44" s="35">
        <v>131</v>
      </c>
      <c r="F44" s="35">
        <v>137</v>
      </c>
      <c r="G44" s="35">
        <v>164</v>
      </c>
      <c r="H44" s="35">
        <v>144</v>
      </c>
      <c r="I44" s="35">
        <v>137</v>
      </c>
      <c r="J44" s="35">
        <v>155</v>
      </c>
      <c r="K44" s="35">
        <v>155</v>
      </c>
      <c r="L44" s="35"/>
      <c r="M44" s="35"/>
      <c r="N44" s="92">
        <f>SUM(DSA[[#This Row],[Jan]:[Dez]])</f>
        <v>1446</v>
      </c>
      <c r="O44" s="103">
        <f>DSA[[#This Row],[ 2.019 ]]/DSA[[#Totals],[ 2.019 ]]</f>
        <v>0.21368405497266144</v>
      </c>
    </row>
    <row r="45" spans="1:17" x14ac:dyDescent="0.2">
      <c r="A45" s="33" t="s">
        <v>85</v>
      </c>
      <c r="B45" s="35">
        <v>2</v>
      </c>
      <c r="C45" s="35">
        <v>2</v>
      </c>
      <c r="D45" s="35">
        <v>1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1</v>
      </c>
      <c r="L45" s="35"/>
      <c r="M45" s="35"/>
      <c r="N45" s="92">
        <f>SUM(DSA[[#This Row],[Jan]:[Dez]])</f>
        <v>6</v>
      </c>
      <c r="O45" s="103">
        <f>DSA[[#This Row],[ 2.019 ]]/DSA[[#Totals],[ 2.019 ]]</f>
        <v>8.8665582976208063E-4</v>
      </c>
    </row>
    <row r="46" spans="1:17" ht="12" thickBot="1" x14ac:dyDescent="0.25">
      <c r="A46" s="95"/>
      <c r="B46" s="94">
        <f>SUBTOTAL(109,DSA[Jan])</f>
        <v>700</v>
      </c>
      <c r="C46" s="94">
        <f>SUBTOTAL(109,DSA[Fev])</f>
        <v>588</v>
      </c>
      <c r="D46" s="94">
        <f>SUBTOTAL(109,DSA[Mar])</f>
        <v>686</v>
      </c>
      <c r="E46" s="94">
        <f>SUBTOTAL(109,DSA[Abr])</f>
        <v>694</v>
      </c>
      <c r="F46" s="94">
        <f>SUBTOTAL(109,DSA[Mai])</f>
        <v>675</v>
      </c>
      <c r="G46" s="94">
        <f>SUBTOTAL(109,DSA[Jun])</f>
        <v>721</v>
      </c>
      <c r="H46" s="94">
        <f>SUBTOTAL(109,DSA[Jul])</f>
        <v>615</v>
      </c>
      <c r="I46" s="94">
        <f>SUBTOTAL(109,DSA[Ago])</f>
        <v>676</v>
      </c>
      <c r="J46" s="94">
        <f>SUBTOTAL(109,DSA[Set])</f>
        <v>671</v>
      </c>
      <c r="K46" s="94">
        <f>SUBTOTAL(109,DSA[Out])</f>
        <v>741</v>
      </c>
      <c r="L46" s="94">
        <f>SUBTOTAL(109,DSA[Nov])</f>
        <v>0</v>
      </c>
      <c r="M46" s="94">
        <f>SUBTOTAL(109,DSA[Dez])</f>
        <v>0</v>
      </c>
      <c r="N46" s="94">
        <f>SUBTOTAL(109,DSA[ 2.019 ])</f>
        <v>6767</v>
      </c>
      <c r="O46" s="104"/>
    </row>
    <row r="47" spans="1:17" ht="13.5" thickTop="1" x14ac:dyDescent="0.2">
      <c r="A47" s="201" t="s">
        <v>116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</row>
    <row r="48" spans="1:17" x14ac:dyDescent="0.2">
      <c r="A48" s="34" t="s">
        <v>116</v>
      </c>
      <c r="B48" s="34" t="s">
        <v>63</v>
      </c>
      <c r="C48" s="34" t="s">
        <v>64</v>
      </c>
      <c r="D48" s="34" t="s">
        <v>65</v>
      </c>
      <c r="E48" s="34" t="s">
        <v>66</v>
      </c>
      <c r="F48" s="34" t="s">
        <v>67</v>
      </c>
      <c r="G48" s="34" t="s">
        <v>68</v>
      </c>
      <c r="H48" s="34" t="s">
        <v>69</v>
      </c>
      <c r="I48" s="34" t="s">
        <v>70</v>
      </c>
      <c r="J48" s="34" t="s">
        <v>71</v>
      </c>
      <c r="K48" s="34" t="s">
        <v>72</v>
      </c>
      <c r="L48" s="34" t="s">
        <v>73</v>
      </c>
      <c r="M48" s="34" t="s">
        <v>74</v>
      </c>
      <c r="N48" s="102" t="s">
        <v>276</v>
      </c>
      <c r="O48" s="104" t="s">
        <v>244</v>
      </c>
    </row>
    <row r="49" spans="1:15" x14ac:dyDescent="0.2">
      <c r="A49" s="39" t="s">
        <v>117</v>
      </c>
      <c r="B49" s="35">
        <v>11</v>
      </c>
      <c r="C49" s="35">
        <v>19</v>
      </c>
      <c r="D49" s="35">
        <v>12</v>
      </c>
      <c r="E49" s="35">
        <v>20</v>
      </c>
      <c r="F49" s="35">
        <v>11</v>
      </c>
      <c r="G49" s="35">
        <v>16</v>
      </c>
      <c r="H49" s="35">
        <v>11</v>
      </c>
      <c r="I49" s="35">
        <v>24</v>
      </c>
      <c r="J49" s="35">
        <v>24</v>
      </c>
      <c r="K49" s="35">
        <v>15</v>
      </c>
      <c r="L49" s="35"/>
      <c r="M49" s="35"/>
      <c r="N49" s="92">
        <f>SUM(ART[[#This Row],[Jan]:[Dez]])</f>
        <v>163</v>
      </c>
      <c r="O49" s="103">
        <f>ART[[#This Row],[ 2.019 ]]/ART[[#Totals],[ 2.019 ]]</f>
        <v>2.4087483375203191E-2</v>
      </c>
    </row>
    <row r="50" spans="1:15" x14ac:dyDescent="0.2">
      <c r="A50" s="39" t="s">
        <v>118</v>
      </c>
      <c r="B50" s="35">
        <v>64</v>
      </c>
      <c r="C50" s="35">
        <v>77</v>
      </c>
      <c r="D50" s="35">
        <v>61</v>
      </c>
      <c r="E50" s="35">
        <v>55</v>
      </c>
      <c r="F50" s="35">
        <v>48</v>
      </c>
      <c r="G50" s="35">
        <v>50</v>
      </c>
      <c r="H50" s="35">
        <v>57</v>
      </c>
      <c r="I50" s="35">
        <v>70</v>
      </c>
      <c r="J50" s="35">
        <v>59</v>
      </c>
      <c r="K50" s="35">
        <v>45</v>
      </c>
      <c r="L50" s="35"/>
      <c r="M50" s="35"/>
      <c r="N50" s="92">
        <f>SUM(ART[[#This Row],[Jan]:[Dez]])</f>
        <v>586</v>
      </c>
      <c r="O50" s="103">
        <f>ART[[#This Row],[ 2.019 ]]/ART[[#Totals],[ 2.019 ]]</f>
        <v>8.6596719373429887E-2</v>
      </c>
    </row>
    <row r="51" spans="1:15" x14ac:dyDescent="0.2">
      <c r="A51" s="38" t="s">
        <v>119</v>
      </c>
      <c r="B51" s="35">
        <v>257</v>
      </c>
      <c r="C51" s="35">
        <v>267</v>
      </c>
      <c r="D51" s="35">
        <v>289</v>
      </c>
      <c r="E51" s="35">
        <v>273</v>
      </c>
      <c r="F51" s="35">
        <v>257</v>
      </c>
      <c r="G51" s="35">
        <v>322</v>
      </c>
      <c r="H51" s="35">
        <v>268</v>
      </c>
      <c r="I51" s="35">
        <v>287</v>
      </c>
      <c r="J51" s="35">
        <v>292</v>
      </c>
      <c r="K51" s="35">
        <v>388</v>
      </c>
      <c r="L51" s="35"/>
      <c r="M51" s="35"/>
      <c r="N51" s="92">
        <f>SUM(ART[[#This Row],[Jan]:[Dez]])</f>
        <v>2900</v>
      </c>
      <c r="O51" s="103">
        <f>ART[[#This Row],[ 2.019 ]]/ART[[#Totals],[ 2.019 ]]</f>
        <v>0.42855031771833901</v>
      </c>
    </row>
    <row r="52" spans="1:15" x14ac:dyDescent="0.2">
      <c r="A52" s="37" t="s">
        <v>120</v>
      </c>
      <c r="B52" s="35">
        <v>154</v>
      </c>
      <c r="C52" s="35">
        <v>74</v>
      </c>
      <c r="D52" s="35">
        <v>94</v>
      </c>
      <c r="E52" s="35">
        <v>112</v>
      </c>
      <c r="F52" s="35">
        <v>88</v>
      </c>
      <c r="G52" s="35">
        <v>95</v>
      </c>
      <c r="H52" s="35">
        <v>96</v>
      </c>
      <c r="I52" s="35">
        <v>91</v>
      </c>
      <c r="J52" s="35">
        <v>85</v>
      </c>
      <c r="K52" s="35">
        <v>91</v>
      </c>
      <c r="L52" s="35"/>
      <c r="M52" s="35"/>
      <c r="N52" s="92">
        <f>SUM(ART[[#This Row],[Jan]:[Dez]])</f>
        <v>980</v>
      </c>
      <c r="O52" s="103">
        <f>ART[[#This Row],[ 2.019 ]]/ART[[#Totals],[ 2.019 ]]</f>
        <v>0.14482045219447318</v>
      </c>
    </row>
    <row r="53" spans="1:15" x14ac:dyDescent="0.2">
      <c r="A53" s="37" t="s">
        <v>92</v>
      </c>
      <c r="B53" s="35">
        <v>214</v>
      </c>
      <c r="C53" s="35">
        <v>151</v>
      </c>
      <c r="D53" s="35">
        <v>230</v>
      </c>
      <c r="E53" s="35">
        <v>234</v>
      </c>
      <c r="F53" s="35">
        <v>271</v>
      </c>
      <c r="G53" s="35">
        <v>238</v>
      </c>
      <c r="H53" s="35">
        <v>183</v>
      </c>
      <c r="I53" s="35">
        <v>204</v>
      </c>
      <c r="J53" s="35">
        <v>211</v>
      </c>
      <c r="K53" s="35">
        <v>202</v>
      </c>
      <c r="L53" s="35"/>
      <c r="M53" s="35"/>
      <c r="N53" s="92">
        <f>SUM(ART[[#This Row],[Jan]:[Dez]])</f>
        <v>2138</v>
      </c>
      <c r="O53" s="103">
        <f>ART[[#This Row],[ 2.019 ]]/ART[[#Totals],[ 2.019 ]]</f>
        <v>0.31594502733855473</v>
      </c>
    </row>
    <row r="54" spans="1:15" ht="11.25" customHeight="1" thickBot="1" x14ac:dyDescent="0.3">
      <c r="A54" s="53"/>
      <c r="B54" s="94">
        <f>SUBTOTAL(109,ART[Jan])</f>
        <v>700</v>
      </c>
      <c r="C54" s="94">
        <f>SUBTOTAL(109,ART[Fev])</f>
        <v>588</v>
      </c>
      <c r="D54" s="94">
        <f>SUBTOTAL(109,ART[Mar])</f>
        <v>686</v>
      </c>
      <c r="E54" s="94">
        <f>SUBTOTAL(109,ART[Abr])</f>
        <v>694</v>
      </c>
      <c r="F54" s="94">
        <f>SUBTOTAL(109,ART[Mai])</f>
        <v>675</v>
      </c>
      <c r="G54" s="94">
        <f>SUBTOTAL(109,ART[Jun])</f>
        <v>721</v>
      </c>
      <c r="H54" s="94">
        <f>SUBTOTAL(109,ART[Jul])</f>
        <v>615</v>
      </c>
      <c r="I54" s="94">
        <f>SUBTOTAL(109,ART[Ago])</f>
        <v>676</v>
      </c>
      <c r="J54" s="94">
        <f>SUBTOTAL(109,ART[Set])</f>
        <v>671</v>
      </c>
      <c r="K54" s="94">
        <f>SUBTOTAL(109,ART[Out])</f>
        <v>741</v>
      </c>
      <c r="L54" s="94">
        <f>SUBTOTAL(109,ART[Nov])</f>
        <v>0</v>
      </c>
      <c r="M54" s="94">
        <f>SUBTOTAL(109,ART[Dez])</f>
        <v>0</v>
      </c>
      <c r="N54" s="94">
        <f>SUBTOTAL(109,ART[ 2.019 ])</f>
        <v>6767</v>
      </c>
      <c r="O54" s="104"/>
    </row>
    <row r="55" spans="1:15" ht="13.5" thickTop="1" x14ac:dyDescent="0.2">
      <c r="A55" s="201" t="s">
        <v>121</v>
      </c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</row>
    <row r="56" spans="1:15" x14ac:dyDescent="0.2">
      <c r="A56" s="34" t="s">
        <v>121</v>
      </c>
      <c r="B56" s="34" t="s">
        <v>63</v>
      </c>
      <c r="C56" s="34" t="s">
        <v>64</v>
      </c>
      <c r="D56" s="34" t="s">
        <v>65</v>
      </c>
      <c r="E56" s="34" t="s">
        <v>66</v>
      </c>
      <c r="F56" s="34" t="s">
        <v>67</v>
      </c>
      <c r="G56" s="34" t="s">
        <v>68</v>
      </c>
      <c r="H56" s="34" t="s">
        <v>69</v>
      </c>
      <c r="I56" s="34" t="s">
        <v>70</v>
      </c>
      <c r="J56" s="34" t="s">
        <v>71</v>
      </c>
      <c r="K56" s="34" t="s">
        <v>72</v>
      </c>
      <c r="L56" s="34" t="s">
        <v>73</v>
      </c>
      <c r="M56" s="34" t="s">
        <v>74</v>
      </c>
      <c r="N56" s="100" t="s">
        <v>276</v>
      </c>
      <c r="O56" s="104" t="s">
        <v>244</v>
      </c>
    </row>
    <row r="57" spans="1:15" x14ac:dyDescent="0.2">
      <c r="A57" s="33" t="s">
        <v>122</v>
      </c>
      <c r="B57" s="35">
        <v>37</v>
      </c>
      <c r="C57" s="35">
        <v>23</v>
      </c>
      <c r="D57" s="35">
        <v>36</v>
      </c>
      <c r="E57" s="35">
        <v>30</v>
      </c>
      <c r="F57" s="35">
        <v>30</v>
      </c>
      <c r="G57" s="35">
        <v>30</v>
      </c>
      <c r="H57" s="35">
        <v>29</v>
      </c>
      <c r="I57" s="35">
        <v>37</v>
      </c>
      <c r="J57" s="35">
        <v>33</v>
      </c>
      <c r="K57" s="35">
        <v>32</v>
      </c>
      <c r="L57" s="35"/>
      <c r="M57" s="35"/>
      <c r="N57" s="92">
        <f>SUM(ML[[#This Row],[Jan]:[Dez]])</f>
        <v>317</v>
      </c>
      <c r="O57" s="103">
        <f>ML[[#This Row],[ 2.019 ]]/ML[[#Totals],[ 2.019 ]]</f>
        <v>4.6844983005763265E-2</v>
      </c>
    </row>
    <row r="58" spans="1:15" x14ac:dyDescent="0.2">
      <c r="A58" s="33" t="s">
        <v>123</v>
      </c>
      <c r="B58" s="35">
        <v>57</v>
      </c>
      <c r="C58" s="35">
        <v>37</v>
      </c>
      <c r="D58" s="35">
        <v>28</v>
      </c>
      <c r="E58" s="35">
        <v>55</v>
      </c>
      <c r="F58" s="35">
        <v>27</v>
      </c>
      <c r="G58" s="35">
        <v>45</v>
      </c>
      <c r="H58" s="35">
        <v>40</v>
      </c>
      <c r="I58" s="35">
        <v>24</v>
      </c>
      <c r="J58" s="35">
        <v>45</v>
      </c>
      <c r="K58" s="35">
        <v>60</v>
      </c>
      <c r="L58" s="35"/>
      <c r="M58" s="35"/>
      <c r="N58" s="92">
        <f>SUM(ML[[#This Row],[Jan]:[Dez]])</f>
        <v>418</v>
      </c>
      <c r="O58" s="103">
        <f>ML[[#This Row],[ 2.019 ]]/ML[[#Totals],[ 2.019 ]]</f>
        <v>6.1770356140091624E-2</v>
      </c>
    </row>
    <row r="59" spans="1:15" x14ac:dyDescent="0.2">
      <c r="A59" s="33" t="s">
        <v>124</v>
      </c>
      <c r="B59" s="35">
        <v>481</v>
      </c>
      <c r="C59" s="35">
        <v>430</v>
      </c>
      <c r="D59" s="35">
        <v>497</v>
      </c>
      <c r="E59" s="35">
        <v>485</v>
      </c>
      <c r="F59" s="35">
        <v>512</v>
      </c>
      <c r="G59" s="35">
        <v>535</v>
      </c>
      <c r="H59" s="35">
        <v>455</v>
      </c>
      <c r="I59" s="35">
        <v>498</v>
      </c>
      <c r="J59" s="35">
        <v>505</v>
      </c>
      <c r="K59" s="35">
        <v>536</v>
      </c>
      <c r="L59" s="35"/>
      <c r="M59" s="35"/>
      <c r="N59" s="92">
        <f>SUM(ML[[#This Row],[Jan]:[Dez]])</f>
        <v>4934</v>
      </c>
      <c r="O59" s="103">
        <f>ML[[#This Row],[ 2.019 ]]/ML[[#Totals],[ 2.019 ]]</f>
        <v>0.72912664400768434</v>
      </c>
    </row>
    <row r="60" spans="1:15" x14ac:dyDescent="0.2">
      <c r="A60" s="33" t="s">
        <v>125</v>
      </c>
      <c r="B60" s="35">
        <v>75</v>
      </c>
      <c r="C60" s="35">
        <v>63</v>
      </c>
      <c r="D60" s="35">
        <v>97</v>
      </c>
      <c r="E60" s="35">
        <v>87</v>
      </c>
      <c r="F60" s="35">
        <v>71</v>
      </c>
      <c r="G60" s="35">
        <v>74</v>
      </c>
      <c r="H60" s="35">
        <v>60</v>
      </c>
      <c r="I60" s="35">
        <v>78</v>
      </c>
      <c r="J60" s="35">
        <v>62</v>
      </c>
      <c r="K60" s="35">
        <v>82</v>
      </c>
      <c r="L60" s="35"/>
      <c r="M60" s="35"/>
      <c r="N60" s="92">
        <f>SUM(ML[[#This Row],[Jan]:[Dez]])</f>
        <v>749</v>
      </c>
      <c r="O60" s="103">
        <f>ML[[#This Row],[ 2.019 ]]/ML[[#Totals],[ 2.019 ]]</f>
        <v>0.11068420274863307</v>
      </c>
    </row>
    <row r="61" spans="1:15" x14ac:dyDescent="0.2">
      <c r="A61" s="33" t="s">
        <v>126</v>
      </c>
      <c r="B61" s="35">
        <v>48</v>
      </c>
      <c r="C61" s="35">
        <v>32</v>
      </c>
      <c r="D61" s="35">
        <v>28</v>
      </c>
      <c r="E61" s="35">
        <v>37</v>
      </c>
      <c r="F61" s="35">
        <v>35</v>
      </c>
      <c r="G61" s="35">
        <v>37</v>
      </c>
      <c r="H61" s="35">
        <v>30</v>
      </c>
      <c r="I61" s="35">
        <v>36</v>
      </c>
      <c r="J61" s="35">
        <v>26</v>
      </c>
      <c r="K61" s="35">
        <v>31</v>
      </c>
      <c r="L61" s="35"/>
      <c r="M61" s="35"/>
      <c r="N61" s="92">
        <f>SUM(ML[[#This Row],[Jan]:[Dez]])</f>
        <v>340</v>
      </c>
      <c r="O61" s="103">
        <f>ML[[#This Row],[ 2.019 ]]/ML[[#Totals],[ 2.019 ]]</f>
        <v>5.0243830353184575E-2</v>
      </c>
    </row>
    <row r="62" spans="1:15" x14ac:dyDescent="0.2">
      <c r="A62" s="33" t="s">
        <v>85</v>
      </c>
      <c r="B62" s="35">
        <v>2</v>
      </c>
      <c r="C62" s="35">
        <v>3</v>
      </c>
      <c r="D62" s="35">
        <v>0</v>
      </c>
      <c r="E62" s="35">
        <v>0</v>
      </c>
      <c r="F62" s="35">
        <v>0</v>
      </c>
      <c r="G62" s="35">
        <v>0</v>
      </c>
      <c r="H62" s="35">
        <v>1</v>
      </c>
      <c r="I62" s="35">
        <v>3</v>
      </c>
      <c r="J62" s="35">
        <v>0</v>
      </c>
      <c r="K62" s="35">
        <v>0</v>
      </c>
      <c r="L62" s="35"/>
      <c r="M62" s="35"/>
      <c r="N62" s="92">
        <f>SUM(ML[[#This Row],[Jan]:[Dez]])</f>
        <v>9</v>
      </c>
      <c r="O62" s="103">
        <f>ML[[#This Row],[ 2.019 ]]/ML[[#Totals],[ 2.019 ]]</f>
        <v>1.3299837446431211E-3</v>
      </c>
    </row>
    <row r="63" spans="1:15" ht="12" thickBot="1" x14ac:dyDescent="0.25">
      <c r="A63" s="95"/>
      <c r="B63" s="94">
        <f>SUBTOTAL(109,ML[Jan])</f>
        <v>700</v>
      </c>
      <c r="C63" s="94">
        <f>SUBTOTAL(109,ML[Fev])</f>
        <v>588</v>
      </c>
      <c r="D63" s="94">
        <f>SUBTOTAL(109,ML[Mar])</f>
        <v>686</v>
      </c>
      <c r="E63" s="94">
        <f>SUBTOTAL(109,ML[Abr])</f>
        <v>694</v>
      </c>
      <c r="F63" s="94">
        <f>SUBTOTAL(109,ML[Mai])</f>
        <v>675</v>
      </c>
      <c r="G63" s="94">
        <f>SUBTOTAL(109,ML[Jun])</f>
        <v>721</v>
      </c>
      <c r="H63" s="94">
        <f>SUBTOTAL(109,ML[Jul])</f>
        <v>615</v>
      </c>
      <c r="I63" s="94">
        <f>SUBTOTAL(109,ML[Ago])</f>
        <v>676</v>
      </c>
      <c r="J63" s="94">
        <f>SUBTOTAL(109,ML[Set])</f>
        <v>671</v>
      </c>
      <c r="K63" s="94">
        <f>SUBTOTAL(109,ML[Out])</f>
        <v>741</v>
      </c>
      <c r="L63" s="94">
        <f>SUBTOTAL(109,ML[Nov])</f>
        <v>0</v>
      </c>
      <c r="M63" s="94">
        <f>SUBTOTAL(109,ML[Dez])</f>
        <v>0</v>
      </c>
      <c r="N63" s="94">
        <f>SUBTOTAL(109,ML[ 2.019 ])</f>
        <v>6767</v>
      </c>
      <c r="O63" s="104"/>
    </row>
    <row r="64" spans="1:15" ht="13.5" thickTop="1" x14ac:dyDescent="0.2">
      <c r="A64" s="201" t="s">
        <v>127</v>
      </c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</row>
    <row r="65" spans="1:15" x14ac:dyDescent="0.2">
      <c r="A65" s="34" t="s">
        <v>127</v>
      </c>
      <c r="B65" s="34" t="s">
        <v>63</v>
      </c>
      <c r="C65" s="34" t="s">
        <v>64</v>
      </c>
      <c r="D65" s="34" t="s">
        <v>65</v>
      </c>
      <c r="E65" s="34" t="s">
        <v>66</v>
      </c>
      <c r="F65" s="34" t="s">
        <v>67</v>
      </c>
      <c r="G65" s="34" t="s">
        <v>68</v>
      </c>
      <c r="H65" s="34" t="s">
        <v>69</v>
      </c>
      <c r="I65" s="34" t="s">
        <v>70</v>
      </c>
      <c r="J65" s="34" t="s">
        <v>71</v>
      </c>
      <c r="K65" s="34" t="s">
        <v>72</v>
      </c>
      <c r="L65" s="34" t="s">
        <v>73</v>
      </c>
      <c r="M65" s="34" t="s">
        <v>74</v>
      </c>
      <c r="N65" s="100" t="s">
        <v>276</v>
      </c>
      <c r="O65" s="104" t="s">
        <v>244</v>
      </c>
    </row>
    <row r="66" spans="1:15" x14ac:dyDescent="0.2">
      <c r="A66" s="33" t="s">
        <v>123</v>
      </c>
      <c r="B66" s="35">
        <v>106</v>
      </c>
      <c r="C66" s="35">
        <v>121</v>
      </c>
      <c r="D66" s="35">
        <v>130</v>
      </c>
      <c r="E66" s="35">
        <v>146</v>
      </c>
      <c r="F66" s="35">
        <v>131</v>
      </c>
      <c r="G66" s="35">
        <v>148</v>
      </c>
      <c r="H66" s="35">
        <v>126</v>
      </c>
      <c r="I66" s="89">
        <v>134</v>
      </c>
      <c r="J66" s="35">
        <v>127</v>
      </c>
      <c r="K66" s="35">
        <v>151</v>
      </c>
      <c r="L66" s="35"/>
      <c r="M66" s="35"/>
      <c r="N66" s="92">
        <f>SUM(OPA[[#This Row],[Jan]:[Dez]])</f>
        <v>1320</v>
      </c>
      <c r="O66" s="103">
        <f>OPA[[#This Row],[ 2.019 ]]/OPA[[#Totals],[ 2.019 ]]</f>
        <v>0.19506428254765776</v>
      </c>
    </row>
    <row r="67" spans="1:15" x14ac:dyDescent="0.2">
      <c r="A67" s="33" t="s">
        <v>124</v>
      </c>
      <c r="B67" s="35">
        <v>66</v>
      </c>
      <c r="C67" s="35">
        <v>64</v>
      </c>
      <c r="D67" s="35">
        <v>72</v>
      </c>
      <c r="E67" s="35">
        <v>72</v>
      </c>
      <c r="F67" s="35">
        <v>80</v>
      </c>
      <c r="G67" s="35">
        <v>79</v>
      </c>
      <c r="H67" s="35">
        <v>50</v>
      </c>
      <c r="I67" s="89">
        <v>86</v>
      </c>
      <c r="J67" s="35">
        <v>69</v>
      </c>
      <c r="K67" s="35">
        <v>90</v>
      </c>
      <c r="L67" s="35"/>
      <c r="M67" s="35"/>
      <c r="N67" s="92">
        <f>SUM(OPA[[#This Row],[Jan]:[Dez]])</f>
        <v>728</v>
      </c>
      <c r="O67" s="103">
        <f>OPA[[#This Row],[ 2.019 ]]/OPA[[#Totals],[ 2.019 ]]</f>
        <v>0.10758090734446579</v>
      </c>
    </row>
    <row r="68" spans="1:15" x14ac:dyDescent="0.2">
      <c r="A68" s="33" t="s">
        <v>125</v>
      </c>
      <c r="B68" s="35">
        <v>6</v>
      </c>
      <c r="C68" s="35">
        <v>8</v>
      </c>
      <c r="D68" s="35">
        <v>6</v>
      </c>
      <c r="E68" s="35">
        <v>9</v>
      </c>
      <c r="F68" s="35">
        <v>12</v>
      </c>
      <c r="G68" s="35">
        <v>8</v>
      </c>
      <c r="H68" s="35">
        <v>5</v>
      </c>
      <c r="I68" s="89">
        <v>8</v>
      </c>
      <c r="J68" s="35">
        <v>4</v>
      </c>
      <c r="K68" s="35">
        <v>13</v>
      </c>
      <c r="L68" s="35"/>
      <c r="M68" s="35"/>
      <c r="N68" s="92">
        <f>SUM(OPA[[#This Row],[Jan]:[Dez]])</f>
        <v>79</v>
      </c>
      <c r="O68" s="103">
        <f>OPA[[#This Row],[ 2.019 ]]/OPA[[#Totals],[ 2.019 ]]</f>
        <v>1.1674301758534062E-2</v>
      </c>
    </row>
    <row r="69" spans="1:15" x14ac:dyDescent="0.2">
      <c r="A69" s="33" t="s">
        <v>128</v>
      </c>
      <c r="B69" s="35">
        <v>4</v>
      </c>
      <c r="C69" s="35">
        <v>3</v>
      </c>
      <c r="D69" s="35">
        <v>2</v>
      </c>
      <c r="E69" s="35">
        <v>1</v>
      </c>
      <c r="F69" s="35">
        <v>3</v>
      </c>
      <c r="G69" s="35">
        <v>5</v>
      </c>
      <c r="H69" s="35">
        <v>7</v>
      </c>
      <c r="I69" s="89">
        <v>3</v>
      </c>
      <c r="J69" s="35">
        <v>4</v>
      </c>
      <c r="K69" s="35">
        <v>6</v>
      </c>
      <c r="L69" s="35"/>
      <c r="M69" s="35"/>
      <c r="N69" s="92">
        <f>SUM(OPA[[#This Row],[Jan]:[Dez]])</f>
        <v>38</v>
      </c>
      <c r="O69" s="103">
        <f>OPA[[#This Row],[ 2.019 ]]/OPA[[#Totals],[ 2.019 ]]</f>
        <v>5.6154869218265112E-3</v>
      </c>
    </row>
    <row r="70" spans="1:15" x14ac:dyDescent="0.2">
      <c r="A70" s="33" t="s">
        <v>129</v>
      </c>
      <c r="B70" s="35">
        <v>5</v>
      </c>
      <c r="C70" s="35">
        <v>11</v>
      </c>
      <c r="D70" s="35">
        <v>16</v>
      </c>
      <c r="E70" s="35">
        <v>6</v>
      </c>
      <c r="F70" s="35">
        <v>8</v>
      </c>
      <c r="G70" s="35">
        <v>16</v>
      </c>
      <c r="H70" s="35">
        <v>11</v>
      </c>
      <c r="I70" s="89">
        <v>8</v>
      </c>
      <c r="J70" s="35">
        <v>10</v>
      </c>
      <c r="K70" s="35">
        <v>7</v>
      </c>
      <c r="L70" s="35"/>
      <c r="M70" s="35"/>
      <c r="N70" s="92">
        <f>SUM(OPA[[#This Row],[Jan]:[Dez]])</f>
        <v>98</v>
      </c>
      <c r="O70" s="103">
        <f>OPA[[#This Row],[ 2.019 ]]/OPA[[#Totals],[ 2.019 ]]</f>
        <v>1.4482045219447319E-2</v>
      </c>
    </row>
    <row r="71" spans="1:15" x14ac:dyDescent="0.2">
      <c r="A71" s="33" t="s">
        <v>130</v>
      </c>
      <c r="B71" s="35">
        <v>14</v>
      </c>
      <c r="C71" s="35">
        <v>30</v>
      </c>
      <c r="D71" s="35">
        <v>29</v>
      </c>
      <c r="E71" s="35">
        <v>22</v>
      </c>
      <c r="F71" s="35">
        <v>46</v>
      </c>
      <c r="G71" s="35">
        <v>22</v>
      </c>
      <c r="H71" s="35">
        <v>17</v>
      </c>
      <c r="I71" s="89">
        <v>29</v>
      </c>
      <c r="J71" s="35">
        <v>28</v>
      </c>
      <c r="K71" s="35">
        <v>29</v>
      </c>
      <c r="L71" s="35"/>
      <c r="M71" s="35"/>
      <c r="N71" s="92">
        <f>SUM(OPA[[#This Row],[Jan]:[Dez]])</f>
        <v>266</v>
      </c>
      <c r="O71" s="103">
        <f>OPA[[#This Row],[ 2.019 ]]/OPA[[#Totals],[ 2.019 ]]</f>
        <v>3.9308408452785576E-2</v>
      </c>
    </row>
    <row r="72" spans="1:15" x14ac:dyDescent="0.2">
      <c r="A72" s="33" t="s">
        <v>131</v>
      </c>
      <c r="B72" s="35">
        <v>8</v>
      </c>
      <c r="C72" s="35">
        <v>4</v>
      </c>
      <c r="D72" s="35">
        <v>10</v>
      </c>
      <c r="E72" s="35">
        <v>7</v>
      </c>
      <c r="F72" s="35">
        <v>4</v>
      </c>
      <c r="G72" s="35">
        <v>8</v>
      </c>
      <c r="H72" s="35">
        <v>11</v>
      </c>
      <c r="I72" s="89">
        <v>8</v>
      </c>
      <c r="J72" s="35">
        <v>13</v>
      </c>
      <c r="K72" s="35">
        <v>6</v>
      </c>
      <c r="L72" s="35"/>
      <c r="M72" s="35"/>
      <c r="N72" s="92">
        <f>SUM(OPA[[#This Row],[Jan]:[Dez]])</f>
        <v>79</v>
      </c>
      <c r="O72" s="103">
        <f>OPA[[#This Row],[ 2.019 ]]/OPA[[#Totals],[ 2.019 ]]</f>
        <v>1.1674301758534062E-2</v>
      </c>
    </row>
    <row r="73" spans="1:15" x14ac:dyDescent="0.2">
      <c r="A73" s="33" t="s">
        <v>173</v>
      </c>
      <c r="B73" s="35">
        <v>20</v>
      </c>
      <c r="C73" s="35">
        <v>0</v>
      </c>
      <c r="D73" s="35">
        <v>6</v>
      </c>
      <c r="E73" s="35">
        <v>1</v>
      </c>
      <c r="F73" s="35">
        <v>3</v>
      </c>
      <c r="G73" s="35">
        <v>2</v>
      </c>
      <c r="H73" s="35">
        <v>2</v>
      </c>
      <c r="I73" s="89">
        <v>0</v>
      </c>
      <c r="J73" s="35">
        <v>0</v>
      </c>
      <c r="K73" s="35">
        <v>0</v>
      </c>
      <c r="L73" s="35"/>
      <c r="M73" s="35"/>
      <c r="N73" s="92">
        <f>SUM(OPA[[#This Row],[Jan]:[Dez]])</f>
        <v>34</v>
      </c>
      <c r="O73" s="103">
        <f>OPA[[#This Row],[ 2.019 ]]/OPA[[#Totals],[ 2.019 ]]</f>
        <v>5.0243830353184568E-3</v>
      </c>
    </row>
    <row r="74" spans="1:15" x14ac:dyDescent="0.2">
      <c r="A74" s="33" t="s">
        <v>132</v>
      </c>
      <c r="B74" s="35">
        <v>0</v>
      </c>
      <c r="C74" s="35">
        <v>2</v>
      </c>
      <c r="D74" s="35">
        <v>2</v>
      </c>
      <c r="E74" s="35">
        <v>0</v>
      </c>
      <c r="F74" s="35">
        <v>1</v>
      </c>
      <c r="G74" s="35">
        <v>2</v>
      </c>
      <c r="H74" s="35">
        <v>2</v>
      </c>
      <c r="I74" s="89">
        <v>2</v>
      </c>
      <c r="J74" s="35">
        <v>1</v>
      </c>
      <c r="K74" s="35">
        <v>3</v>
      </c>
      <c r="L74" s="35"/>
      <c r="M74" s="35"/>
      <c r="N74" s="92">
        <f>SUM(OPA[[#This Row],[Jan]:[Dez]])</f>
        <v>15</v>
      </c>
      <c r="O74" s="103">
        <f>OPA[[#This Row],[ 2.019 ]]/OPA[[#Totals],[ 2.019 ]]</f>
        <v>2.2166395744052016E-3</v>
      </c>
    </row>
    <row r="75" spans="1:15" x14ac:dyDescent="0.2">
      <c r="A75" s="33" t="s">
        <v>174</v>
      </c>
      <c r="B75" s="35">
        <v>12</v>
      </c>
      <c r="C75" s="35">
        <v>6</v>
      </c>
      <c r="D75" s="35">
        <v>11</v>
      </c>
      <c r="E75" s="35">
        <v>24</v>
      </c>
      <c r="F75" s="35">
        <v>11</v>
      </c>
      <c r="G75" s="35">
        <v>12</v>
      </c>
      <c r="H75" s="35">
        <v>19</v>
      </c>
      <c r="I75" s="35">
        <v>5</v>
      </c>
      <c r="J75" s="35">
        <v>14</v>
      </c>
      <c r="K75" s="35">
        <v>10</v>
      </c>
      <c r="L75" s="35"/>
      <c r="M75" s="35"/>
      <c r="N75" s="92">
        <f>SUM(OPA[[#This Row],[Jan]:[Dez]])</f>
        <v>124</v>
      </c>
      <c r="O75" s="103">
        <f>OPA[[#This Row],[ 2.019 ]]/OPA[[#Totals],[ 2.019 ]]</f>
        <v>1.8324220481749667E-2</v>
      </c>
    </row>
    <row r="76" spans="1:15" x14ac:dyDescent="0.2">
      <c r="A76" s="33" t="s">
        <v>120</v>
      </c>
      <c r="B76" s="35">
        <v>449</v>
      </c>
      <c r="C76" s="35">
        <v>330</v>
      </c>
      <c r="D76" s="35">
        <v>391</v>
      </c>
      <c r="E76" s="35">
        <v>389</v>
      </c>
      <c r="F76" s="35">
        <v>357</v>
      </c>
      <c r="G76" s="35">
        <v>407</v>
      </c>
      <c r="H76" s="35">
        <v>359</v>
      </c>
      <c r="I76" s="35">
        <v>376</v>
      </c>
      <c r="J76" s="35">
        <v>393</v>
      </c>
      <c r="K76" s="35">
        <v>420</v>
      </c>
      <c r="L76" s="35"/>
      <c r="M76" s="35"/>
      <c r="N76" s="92">
        <f>SUM(OPA[[#This Row],[Jan]:[Dez]])</f>
        <v>3871</v>
      </c>
      <c r="O76" s="103">
        <f>OPA[[#This Row],[ 2.019 ]]/OPA[[#Totals],[ 2.019 ]]</f>
        <v>0.572040786168169</v>
      </c>
    </row>
    <row r="77" spans="1:15" x14ac:dyDescent="0.2">
      <c r="A77" s="33" t="s">
        <v>85</v>
      </c>
      <c r="B77" s="35">
        <v>10</v>
      </c>
      <c r="C77" s="35">
        <v>9</v>
      </c>
      <c r="D77" s="35">
        <v>11</v>
      </c>
      <c r="E77" s="35">
        <v>17</v>
      </c>
      <c r="F77" s="35">
        <v>19</v>
      </c>
      <c r="G77" s="35">
        <v>12</v>
      </c>
      <c r="H77" s="35">
        <v>6</v>
      </c>
      <c r="I77" s="35">
        <v>17</v>
      </c>
      <c r="J77" s="35">
        <v>8</v>
      </c>
      <c r="K77" s="35">
        <v>6</v>
      </c>
      <c r="L77" s="35"/>
      <c r="M77" s="35"/>
      <c r="N77" s="92">
        <f>SUM(OPA[[#This Row],[Jan]:[Dez]])</f>
        <v>115</v>
      </c>
      <c r="O77" s="103">
        <f>OPA[[#This Row],[ 2.019 ]]/OPA[[#Totals],[ 2.019 ]]</f>
        <v>1.6994236737106545E-2</v>
      </c>
    </row>
    <row r="78" spans="1:15" ht="12" thickBot="1" x14ac:dyDescent="0.25">
      <c r="A78" s="95"/>
      <c r="B78" s="94">
        <f>SUBTOTAL(109,OPA[Jan])</f>
        <v>700</v>
      </c>
      <c r="C78" s="94">
        <f>SUBTOTAL(109,OPA[Fev])</f>
        <v>588</v>
      </c>
      <c r="D78" s="94">
        <f>SUBTOTAL(109,OPA[Mar])</f>
        <v>686</v>
      </c>
      <c r="E78" s="94">
        <f>SUBTOTAL(109,OPA[Abr])</f>
        <v>694</v>
      </c>
      <c r="F78" s="94">
        <f>SUBTOTAL(109,OPA[Mai])</f>
        <v>675</v>
      </c>
      <c r="G78" s="94">
        <f>SUBTOTAL(109,OPA[Jun])</f>
        <v>721</v>
      </c>
      <c r="H78" s="94">
        <f>SUBTOTAL(109,OPA[Jul])</f>
        <v>615</v>
      </c>
      <c r="I78" s="94">
        <f>SUBTOTAL(109,OPA[Ago])</f>
        <v>676</v>
      </c>
      <c r="J78" s="94">
        <f>SUBTOTAL(109,OPA[Set])</f>
        <v>671</v>
      </c>
      <c r="K78" s="94">
        <f>SUBTOTAL(109,OPA[Out])</f>
        <v>741</v>
      </c>
      <c r="L78" s="94">
        <f>SUBTOTAL(109,OPA[Nov])</f>
        <v>0</v>
      </c>
      <c r="M78" s="94">
        <f>SUBTOTAL(109,OPA[Dez])</f>
        <v>0</v>
      </c>
      <c r="N78" s="94">
        <f>SUBTOTAL(109,OPA[ 2.019 ])</f>
        <v>6767</v>
      </c>
      <c r="O78" s="104"/>
    </row>
    <row r="79" spans="1:15" ht="13.5" thickTop="1" x14ac:dyDescent="0.2">
      <c r="A79" s="201" t="s">
        <v>175</v>
      </c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</row>
    <row r="80" spans="1:15" s="34" customFormat="1" x14ac:dyDescent="0.2">
      <c r="A80" s="34" t="s">
        <v>176</v>
      </c>
      <c r="B80" s="34" t="s">
        <v>63</v>
      </c>
      <c r="C80" s="34" t="s">
        <v>64</v>
      </c>
      <c r="D80" s="34" t="s">
        <v>65</v>
      </c>
      <c r="E80" s="34" t="s">
        <v>66</v>
      </c>
      <c r="F80" s="34" t="s">
        <v>67</v>
      </c>
      <c r="G80" s="34" t="s">
        <v>68</v>
      </c>
      <c r="H80" s="34" t="s">
        <v>69</v>
      </c>
      <c r="I80" s="34" t="s">
        <v>70</v>
      </c>
      <c r="J80" s="34" t="s">
        <v>71</v>
      </c>
      <c r="K80" s="34" t="s">
        <v>72</v>
      </c>
      <c r="L80" s="34" t="s">
        <v>73</v>
      </c>
      <c r="M80" s="34" t="s">
        <v>74</v>
      </c>
      <c r="N80" s="100" t="s">
        <v>276</v>
      </c>
      <c r="O80" s="104" t="s">
        <v>244</v>
      </c>
    </row>
    <row r="81" spans="1:15" x14ac:dyDescent="0.2">
      <c r="A81" s="33" t="s">
        <v>177</v>
      </c>
      <c r="B81" s="35">
        <v>542</v>
      </c>
      <c r="C81" s="35">
        <v>450</v>
      </c>
      <c r="D81" s="35">
        <v>499</v>
      </c>
      <c r="E81" s="35">
        <v>511</v>
      </c>
      <c r="F81" s="35">
        <v>510</v>
      </c>
      <c r="G81" s="35">
        <v>544</v>
      </c>
      <c r="H81" s="35">
        <v>437</v>
      </c>
      <c r="I81" s="35">
        <v>473</v>
      </c>
      <c r="J81" s="35">
        <v>482</v>
      </c>
      <c r="K81" s="35">
        <v>544</v>
      </c>
      <c r="L81" s="35"/>
      <c r="M81" s="35"/>
      <c r="N81" s="92">
        <f>SUM(EVO_2[[#This Row],[Jan]:[Dez]])</f>
        <v>4992</v>
      </c>
      <c r="O81" s="103">
        <f>EVO_2[[#This Row],[ 2.019 ]]/EVO_2[[#Totals],[ 2.019 ]]</f>
        <v>0.73769765036205115</v>
      </c>
    </row>
    <row r="82" spans="1:15" x14ac:dyDescent="0.2">
      <c r="A82" s="33" t="s">
        <v>178</v>
      </c>
      <c r="B82" s="35">
        <v>0</v>
      </c>
      <c r="C82" s="35">
        <v>0</v>
      </c>
      <c r="D82" s="35">
        <v>0</v>
      </c>
      <c r="E82" s="35">
        <v>1</v>
      </c>
      <c r="F82" s="35">
        <v>1</v>
      </c>
      <c r="G82" s="35">
        <v>0</v>
      </c>
      <c r="H82" s="35">
        <v>3</v>
      </c>
      <c r="I82" s="35">
        <v>10</v>
      </c>
      <c r="J82" s="35">
        <v>12</v>
      </c>
      <c r="K82" s="35">
        <v>8</v>
      </c>
      <c r="L82" s="35"/>
      <c r="M82" s="35"/>
      <c r="N82" s="92">
        <f>SUM(EVO_2[[#This Row],[Jan]:[Dez]])</f>
        <v>35</v>
      </c>
      <c r="O82" s="103">
        <f>EVO_2[[#This Row],[ 2.019 ]]/EVO_2[[#Totals],[ 2.019 ]]</f>
        <v>5.1721590069454711E-3</v>
      </c>
    </row>
    <row r="83" spans="1:15" x14ac:dyDescent="0.2">
      <c r="A83" s="33" t="s">
        <v>179</v>
      </c>
      <c r="B83" s="35">
        <v>147</v>
      </c>
      <c r="C83" s="35">
        <v>121</v>
      </c>
      <c r="D83" s="35">
        <v>183</v>
      </c>
      <c r="E83" s="35">
        <v>177</v>
      </c>
      <c r="F83" s="35">
        <v>151</v>
      </c>
      <c r="G83" s="35">
        <v>169</v>
      </c>
      <c r="H83" s="35">
        <v>164</v>
      </c>
      <c r="I83" s="35">
        <v>181</v>
      </c>
      <c r="J83" s="35">
        <v>163</v>
      </c>
      <c r="K83" s="35">
        <v>176</v>
      </c>
      <c r="L83" s="35"/>
      <c r="M83" s="35"/>
      <c r="N83" s="92">
        <f>SUM(EVO_2[[#This Row],[Jan]:[Dez]])</f>
        <v>1632</v>
      </c>
      <c r="O83" s="103">
        <f>EVO_2[[#This Row],[ 2.019 ]]/EVO_2[[#Totals],[ 2.019 ]]</f>
        <v>0.24117038569528595</v>
      </c>
    </row>
    <row r="84" spans="1:15" x14ac:dyDescent="0.2">
      <c r="A84" s="33" t="s">
        <v>180</v>
      </c>
      <c r="B84" s="35">
        <v>1</v>
      </c>
      <c r="C84" s="35">
        <v>6</v>
      </c>
      <c r="D84" s="35">
        <v>1</v>
      </c>
      <c r="E84" s="35">
        <v>3</v>
      </c>
      <c r="F84" s="35">
        <v>1</v>
      </c>
      <c r="G84" s="35">
        <v>1</v>
      </c>
      <c r="H84" s="35">
        <v>2</v>
      </c>
      <c r="I84" s="35">
        <v>4</v>
      </c>
      <c r="J84" s="35">
        <v>2</v>
      </c>
      <c r="K84" s="35">
        <v>6</v>
      </c>
      <c r="L84" s="35"/>
      <c r="M84" s="35"/>
      <c r="N84" s="92">
        <f>SUM(EVO_2[[#This Row],[Jan]:[Dez]])</f>
        <v>27</v>
      </c>
      <c r="O84" s="103">
        <f>EVO_2[[#This Row],[ 2.019 ]]/EVO_2[[#Totals],[ 2.019 ]]</f>
        <v>3.9899512339293631E-3</v>
      </c>
    </row>
    <row r="85" spans="1:15" x14ac:dyDescent="0.2">
      <c r="A85" s="33" t="s">
        <v>181</v>
      </c>
      <c r="B85" s="35">
        <v>5</v>
      </c>
      <c r="C85" s="35">
        <v>2</v>
      </c>
      <c r="D85" s="35">
        <v>2</v>
      </c>
      <c r="E85" s="35">
        <v>2</v>
      </c>
      <c r="F85" s="35">
        <v>6</v>
      </c>
      <c r="G85" s="35">
        <v>5</v>
      </c>
      <c r="H85" s="35">
        <v>2</v>
      </c>
      <c r="I85" s="35">
        <v>7</v>
      </c>
      <c r="J85" s="35">
        <v>9</v>
      </c>
      <c r="K85" s="35">
        <v>5</v>
      </c>
      <c r="L85" s="35"/>
      <c r="M85" s="35"/>
      <c r="N85" s="92">
        <f>SUM(EVO_2[[#This Row],[Jan]:[Dez]])</f>
        <v>45</v>
      </c>
      <c r="O85" s="103">
        <f>EVO_2[[#This Row],[ 2.019 ]]/EVO_2[[#Totals],[ 2.019 ]]</f>
        <v>6.6499187232156049E-3</v>
      </c>
    </row>
    <row r="86" spans="1:15" x14ac:dyDescent="0.2">
      <c r="A86" s="33" t="s">
        <v>133</v>
      </c>
      <c r="B86" s="35">
        <v>5</v>
      </c>
      <c r="C86" s="35">
        <v>3</v>
      </c>
      <c r="D86" s="35">
        <v>1</v>
      </c>
      <c r="E86" s="35">
        <v>0</v>
      </c>
      <c r="F86" s="35">
        <v>3</v>
      </c>
      <c r="G86" s="35">
        <v>2</v>
      </c>
      <c r="H86" s="35">
        <v>6</v>
      </c>
      <c r="I86" s="35">
        <v>1</v>
      </c>
      <c r="J86" s="35">
        <v>3</v>
      </c>
      <c r="K86" s="35">
        <v>2</v>
      </c>
      <c r="L86" s="35"/>
      <c r="M86" s="35"/>
      <c r="N86" s="92">
        <f>SUM(EVO_2[[#This Row],[Jan]:[Dez]])</f>
        <v>26</v>
      </c>
      <c r="O86" s="103">
        <f>EVO_2[[#This Row],[ 2.019 ]]/EVO_2[[#Totals],[ 2.019 ]]</f>
        <v>3.8421752623023497E-3</v>
      </c>
    </row>
    <row r="87" spans="1:15" x14ac:dyDescent="0.2">
      <c r="A87" s="33" t="s">
        <v>120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/>
      <c r="M87" s="35"/>
      <c r="N87" s="92">
        <f>SUM(EVO_2[[#This Row],[Jan]:[Dez]])</f>
        <v>0</v>
      </c>
      <c r="O87" s="103">
        <f>EVO_2[[#This Row],[ 2.019 ]]/EVO_2[[#Totals],[ 2.019 ]]</f>
        <v>0</v>
      </c>
    </row>
    <row r="88" spans="1:15" x14ac:dyDescent="0.2">
      <c r="A88" s="33" t="s">
        <v>85</v>
      </c>
      <c r="B88" s="35">
        <v>0</v>
      </c>
      <c r="C88" s="35">
        <v>6</v>
      </c>
      <c r="D88" s="35">
        <v>0</v>
      </c>
      <c r="E88" s="35">
        <v>0</v>
      </c>
      <c r="F88" s="35">
        <v>3</v>
      </c>
      <c r="G88" s="35">
        <v>0</v>
      </c>
      <c r="H88" s="35">
        <v>1</v>
      </c>
      <c r="I88" s="35">
        <v>0</v>
      </c>
      <c r="J88" s="35">
        <v>0</v>
      </c>
      <c r="K88" s="35">
        <v>0</v>
      </c>
      <c r="L88" s="35"/>
      <c r="M88" s="35"/>
      <c r="N88" s="92">
        <f>SUM(EVO_2[[#This Row],[Jan]:[Dez]])</f>
        <v>10</v>
      </c>
      <c r="O88" s="103">
        <f>EVO_2[[#This Row],[ 2.019 ]]/EVO_2[[#Totals],[ 2.019 ]]</f>
        <v>1.4777597162701345E-3</v>
      </c>
    </row>
    <row r="89" spans="1:15" ht="12" thickBot="1" x14ac:dyDescent="0.25">
      <c r="A89" s="95"/>
      <c r="B89" s="94">
        <f>SUBTOTAL(109,EVO_2[Jan])</f>
        <v>700</v>
      </c>
      <c r="C89" s="94">
        <f>SUBTOTAL(109,EVO_2[Fev])</f>
        <v>588</v>
      </c>
      <c r="D89" s="94">
        <f>SUBTOTAL(109,EVO_2[Mar])</f>
        <v>686</v>
      </c>
      <c r="E89" s="94">
        <f>SUBTOTAL(109,EVO_2[Abr])</f>
        <v>694</v>
      </c>
      <c r="F89" s="94">
        <f>SUBTOTAL(109,EVO_2[Mai])</f>
        <v>675</v>
      </c>
      <c r="G89" s="94">
        <f>SUBTOTAL(109,EVO_2[Jun])</f>
        <v>721</v>
      </c>
      <c r="H89" s="94">
        <f>SUBTOTAL(109,EVO_2[Jul])</f>
        <v>615</v>
      </c>
      <c r="I89" s="94">
        <f>SUBTOTAL(109,EVO_2[Ago])</f>
        <v>676</v>
      </c>
      <c r="J89" s="94">
        <f>SUBTOTAL(109,EVO_2[Set])</f>
        <v>671</v>
      </c>
      <c r="K89" s="94">
        <f>SUBTOTAL(109,EVO_2[Out])</f>
        <v>741</v>
      </c>
      <c r="L89" s="94">
        <f>SUBTOTAL(109,EVO_2[Nov])</f>
        <v>0</v>
      </c>
      <c r="M89" s="94">
        <f>SUBTOTAL(109,EVO_2[Dez])</f>
        <v>0</v>
      </c>
      <c r="N89" s="94">
        <f>SUBTOTAL(109,EVO_2[ 2.019 ])</f>
        <v>6767</v>
      </c>
      <c r="O89" s="104"/>
    </row>
    <row r="90" spans="1:15" ht="13.5" thickTop="1" x14ac:dyDescent="0.2">
      <c r="A90" s="201" t="s">
        <v>182</v>
      </c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</row>
    <row r="91" spans="1:15" x14ac:dyDescent="0.2">
      <c r="A91" s="34" t="s">
        <v>182</v>
      </c>
      <c r="B91" s="34" t="s">
        <v>63</v>
      </c>
      <c r="C91" s="34" t="s">
        <v>64</v>
      </c>
      <c r="D91" s="34" t="s">
        <v>65</v>
      </c>
      <c r="E91" s="34" t="s">
        <v>66</v>
      </c>
      <c r="F91" s="34" t="s">
        <v>67</v>
      </c>
      <c r="G91" s="34" t="s">
        <v>68</v>
      </c>
      <c r="H91" s="34" t="s">
        <v>69</v>
      </c>
      <c r="I91" s="34" t="s">
        <v>70</v>
      </c>
      <c r="J91" s="34" t="s">
        <v>71</v>
      </c>
      <c r="K91" s="34" t="s">
        <v>72</v>
      </c>
      <c r="L91" s="34" t="s">
        <v>73</v>
      </c>
      <c r="M91" s="34" t="s">
        <v>74</v>
      </c>
      <c r="N91" s="100" t="s">
        <v>276</v>
      </c>
      <c r="O91" s="104" t="s">
        <v>244</v>
      </c>
    </row>
    <row r="92" spans="1:15" x14ac:dyDescent="0.2">
      <c r="A92" s="33" t="s">
        <v>183</v>
      </c>
      <c r="B92" s="35">
        <v>98</v>
      </c>
      <c r="C92" s="35">
        <v>83</v>
      </c>
      <c r="D92" s="35">
        <v>91</v>
      </c>
      <c r="E92" s="35">
        <v>79</v>
      </c>
      <c r="F92" s="35">
        <v>65</v>
      </c>
      <c r="G92" s="35">
        <v>111</v>
      </c>
      <c r="H92" s="35">
        <v>101</v>
      </c>
      <c r="I92" s="35">
        <v>77</v>
      </c>
      <c r="J92" s="35">
        <v>94</v>
      </c>
      <c r="K92" s="35">
        <v>120</v>
      </c>
      <c r="L92" s="35"/>
      <c r="M92" s="35"/>
      <c r="N92" s="92">
        <f>SUM(OPA_20[[#This Row],[Jan]:[Dez]])</f>
        <v>919</v>
      </c>
      <c r="O92" s="103">
        <f>OPA_20[[#This Row],[ 2.019 ]]/OPA_20[[#Totals],[ 2.019 ]]</f>
        <v>0.13580611792522534</v>
      </c>
    </row>
    <row r="93" spans="1:15" x14ac:dyDescent="0.2">
      <c r="A93" s="33" t="s">
        <v>184</v>
      </c>
      <c r="B93" s="35">
        <v>65</v>
      </c>
      <c r="C93" s="35">
        <v>49</v>
      </c>
      <c r="D93" s="35">
        <v>46</v>
      </c>
      <c r="E93" s="35">
        <v>73</v>
      </c>
      <c r="F93" s="35">
        <v>53</v>
      </c>
      <c r="G93" s="35">
        <v>77</v>
      </c>
      <c r="H93" s="35">
        <v>61</v>
      </c>
      <c r="I93" s="35">
        <v>61</v>
      </c>
      <c r="J93" s="35">
        <v>60</v>
      </c>
      <c r="K93" s="35">
        <v>56</v>
      </c>
      <c r="L93" s="35"/>
      <c r="M93" s="35"/>
      <c r="N93" s="92">
        <f>SUM(OPA_20[[#This Row],[Jan]:[Dez]])</f>
        <v>601</v>
      </c>
      <c r="O93" s="103">
        <f>OPA_20[[#This Row],[ 2.019 ]]/OPA_20[[#Totals],[ 2.019 ]]</f>
        <v>8.8813358947835083E-2</v>
      </c>
    </row>
    <row r="94" spans="1:15" x14ac:dyDescent="0.2">
      <c r="A94" s="33" t="s">
        <v>185</v>
      </c>
      <c r="B94" s="35">
        <v>4</v>
      </c>
      <c r="C94" s="35">
        <v>3</v>
      </c>
      <c r="D94" s="35">
        <v>0</v>
      </c>
      <c r="E94" s="35">
        <v>5</v>
      </c>
      <c r="F94" s="35">
        <v>5</v>
      </c>
      <c r="G94" s="35">
        <v>7</v>
      </c>
      <c r="H94" s="35">
        <v>7</v>
      </c>
      <c r="I94" s="35">
        <v>7</v>
      </c>
      <c r="J94" s="35">
        <v>6</v>
      </c>
      <c r="K94" s="35">
        <v>1</v>
      </c>
      <c r="L94" s="35"/>
      <c r="M94" s="35"/>
      <c r="N94" s="92">
        <f>SUM(OPA_20[[#This Row],[Jan]:[Dez]])</f>
        <v>45</v>
      </c>
      <c r="O94" s="103">
        <f>OPA_20[[#This Row],[ 2.019 ]]/OPA_20[[#Totals],[ 2.019 ]]</f>
        <v>6.6499187232156049E-3</v>
      </c>
    </row>
    <row r="95" spans="1:15" x14ac:dyDescent="0.2">
      <c r="A95" s="33" t="s">
        <v>186</v>
      </c>
      <c r="B95" s="35">
        <v>21</v>
      </c>
      <c r="C95" s="35">
        <v>15</v>
      </c>
      <c r="D95" s="35">
        <v>20</v>
      </c>
      <c r="E95" s="35">
        <v>29</v>
      </c>
      <c r="F95" s="35">
        <v>31</v>
      </c>
      <c r="G95" s="35">
        <v>18</v>
      </c>
      <c r="H95" s="35">
        <v>16</v>
      </c>
      <c r="I95" s="35">
        <v>21</v>
      </c>
      <c r="J95" s="35">
        <v>25</v>
      </c>
      <c r="K95" s="35">
        <v>31</v>
      </c>
      <c r="L95" s="35"/>
      <c r="M95" s="35"/>
      <c r="N95" s="92">
        <f>SUM(OPA_20[[#This Row],[Jan]:[Dez]])</f>
        <v>227</v>
      </c>
      <c r="O95" s="103">
        <f>OPA_20[[#This Row],[ 2.019 ]]/OPA_20[[#Totals],[ 2.019 ]]</f>
        <v>3.3545145559332051E-2</v>
      </c>
    </row>
    <row r="96" spans="1:15" x14ac:dyDescent="0.2">
      <c r="A96" s="33" t="s">
        <v>187</v>
      </c>
      <c r="B96" s="35">
        <v>81</v>
      </c>
      <c r="C96" s="35">
        <v>68</v>
      </c>
      <c r="D96" s="35">
        <v>64</v>
      </c>
      <c r="E96" s="35">
        <v>59</v>
      </c>
      <c r="F96" s="35">
        <v>46</v>
      </c>
      <c r="G96" s="35">
        <v>74</v>
      </c>
      <c r="H96" s="35">
        <v>48</v>
      </c>
      <c r="I96" s="35">
        <v>39</v>
      </c>
      <c r="J96" s="35">
        <v>35</v>
      </c>
      <c r="K96" s="35">
        <v>52</v>
      </c>
      <c r="L96" s="35"/>
      <c r="M96" s="35"/>
      <c r="N96" s="92">
        <f>SUM(OPA_20[[#This Row],[Jan]:[Dez]])</f>
        <v>566</v>
      </c>
      <c r="O96" s="103">
        <f>OPA_20[[#This Row],[ 2.019 ]]/OPA_20[[#Totals],[ 2.019 ]]</f>
        <v>8.3641199940889616E-2</v>
      </c>
    </row>
    <row r="97" spans="1:15" x14ac:dyDescent="0.2">
      <c r="A97" s="33" t="s">
        <v>188</v>
      </c>
      <c r="B97" s="35">
        <v>16</v>
      </c>
      <c r="C97" s="35">
        <v>10</v>
      </c>
      <c r="D97" s="35">
        <v>9</v>
      </c>
      <c r="E97" s="35">
        <v>15</v>
      </c>
      <c r="F97" s="35">
        <v>10</v>
      </c>
      <c r="G97" s="35">
        <v>8</v>
      </c>
      <c r="H97" s="35">
        <v>4</v>
      </c>
      <c r="I97" s="35">
        <v>15</v>
      </c>
      <c r="J97" s="35">
        <v>8</v>
      </c>
      <c r="K97" s="35">
        <v>12</v>
      </c>
      <c r="L97" s="35"/>
      <c r="M97" s="35"/>
      <c r="N97" s="92">
        <f>SUM(OPA_20[[#This Row],[Jan]:[Dez]])</f>
        <v>107</v>
      </c>
      <c r="O97" s="103">
        <f>OPA_20[[#This Row],[ 2.019 ]]/OPA_20[[#Totals],[ 2.019 ]]</f>
        <v>1.5812028964090438E-2</v>
      </c>
    </row>
    <row r="98" spans="1:15" x14ac:dyDescent="0.2">
      <c r="A98" s="33" t="s">
        <v>189</v>
      </c>
      <c r="B98" s="35">
        <v>9</v>
      </c>
      <c r="C98" s="35">
        <v>14</v>
      </c>
      <c r="D98" s="35">
        <v>10</v>
      </c>
      <c r="E98" s="35">
        <v>6</v>
      </c>
      <c r="F98" s="35">
        <v>11</v>
      </c>
      <c r="G98" s="35">
        <v>14</v>
      </c>
      <c r="H98" s="35">
        <v>12</v>
      </c>
      <c r="I98" s="35">
        <v>15</v>
      </c>
      <c r="J98" s="35">
        <v>11</v>
      </c>
      <c r="K98" s="35">
        <v>14</v>
      </c>
      <c r="L98" s="35"/>
      <c r="M98" s="35"/>
      <c r="N98" s="92">
        <f>SUM(OPA_20[[#This Row],[Jan]:[Dez]])</f>
        <v>116</v>
      </c>
      <c r="O98" s="103">
        <f>OPA_20[[#This Row],[ 2.019 ]]/OPA_20[[#Totals],[ 2.019 ]]</f>
        <v>1.714201270873356E-2</v>
      </c>
    </row>
    <row r="99" spans="1:15" x14ac:dyDescent="0.2">
      <c r="A99" s="33" t="s">
        <v>190</v>
      </c>
      <c r="B99" s="35">
        <v>189</v>
      </c>
      <c r="C99" s="35">
        <v>161</v>
      </c>
      <c r="D99" s="35">
        <v>188</v>
      </c>
      <c r="E99" s="35">
        <v>188</v>
      </c>
      <c r="F99" s="35">
        <v>209</v>
      </c>
      <c r="G99" s="35">
        <v>176</v>
      </c>
      <c r="H99" s="35">
        <v>165</v>
      </c>
      <c r="I99" s="35">
        <v>179</v>
      </c>
      <c r="J99" s="35">
        <v>202</v>
      </c>
      <c r="K99" s="35">
        <v>227</v>
      </c>
      <c r="L99" s="35"/>
      <c r="M99" s="35"/>
      <c r="N99" s="92">
        <f>SUM(OPA_20[[#This Row],[Jan]:[Dez]])</f>
        <v>1884</v>
      </c>
      <c r="O99" s="103">
        <f>OPA_20[[#This Row],[ 2.019 ]]/OPA_20[[#Totals],[ 2.019 ]]</f>
        <v>0.27840993054529334</v>
      </c>
    </row>
    <row r="100" spans="1:15" x14ac:dyDescent="0.2">
      <c r="A100" s="33" t="s">
        <v>191</v>
      </c>
      <c r="B100" s="35">
        <v>206</v>
      </c>
      <c r="C100" s="35">
        <v>180</v>
      </c>
      <c r="D100" s="35">
        <v>255</v>
      </c>
      <c r="E100" s="35">
        <v>237</v>
      </c>
      <c r="F100" s="35">
        <v>240</v>
      </c>
      <c r="G100" s="35">
        <v>232</v>
      </c>
      <c r="H100" s="35">
        <v>198</v>
      </c>
      <c r="I100" s="35">
        <v>261</v>
      </c>
      <c r="J100" s="35">
        <v>230</v>
      </c>
      <c r="K100" s="35">
        <v>227</v>
      </c>
      <c r="L100" s="35"/>
      <c r="M100" s="35"/>
      <c r="N100" s="92">
        <f>SUM(OPA_20[[#This Row],[Jan]:[Dez]])</f>
        <v>2266</v>
      </c>
      <c r="O100" s="103">
        <f>OPA_20[[#This Row],[ 2.019 ]]/OPA_20[[#Totals],[ 2.019 ]]</f>
        <v>0.3348603517068125</v>
      </c>
    </row>
    <row r="101" spans="1:15" x14ac:dyDescent="0.2">
      <c r="A101" s="33" t="s">
        <v>192</v>
      </c>
      <c r="B101" s="35">
        <v>1</v>
      </c>
      <c r="C101" s="35">
        <v>0</v>
      </c>
      <c r="D101" s="35">
        <v>0</v>
      </c>
      <c r="E101" s="35">
        <v>0</v>
      </c>
      <c r="F101" s="35">
        <v>2</v>
      </c>
      <c r="G101" s="35">
        <v>1</v>
      </c>
      <c r="H101" s="35">
        <v>2</v>
      </c>
      <c r="I101" s="35">
        <v>0</v>
      </c>
      <c r="J101" s="35">
        <v>0</v>
      </c>
      <c r="K101" s="35">
        <v>0</v>
      </c>
      <c r="L101" s="35"/>
      <c r="M101" s="35"/>
      <c r="N101" s="92">
        <f>SUM(OPA_20[[#This Row],[Jan]:[Dez]])</f>
        <v>6</v>
      </c>
      <c r="O101" s="103">
        <f>OPA_20[[#This Row],[ 2.019 ]]/OPA_20[[#Totals],[ 2.019 ]]</f>
        <v>8.8665582976208063E-4</v>
      </c>
    </row>
    <row r="102" spans="1:15" x14ac:dyDescent="0.2">
      <c r="A102" s="33" t="s">
        <v>85</v>
      </c>
      <c r="B102" s="35">
        <v>9</v>
      </c>
      <c r="C102" s="35">
        <v>5</v>
      </c>
      <c r="D102" s="35">
        <v>2</v>
      </c>
      <c r="E102" s="35">
        <v>2</v>
      </c>
      <c r="F102" s="35">
        <v>2</v>
      </c>
      <c r="G102" s="35">
        <v>2</v>
      </c>
      <c r="H102" s="35">
        <v>1</v>
      </c>
      <c r="I102" s="35">
        <v>0</v>
      </c>
      <c r="J102" s="35">
        <v>0</v>
      </c>
      <c r="K102" s="35">
        <v>0</v>
      </c>
      <c r="L102" s="35"/>
      <c r="M102" s="35"/>
      <c r="N102" s="92">
        <f>SUM(OPA_20[[#This Row],[Jan]:[Dez]])</f>
        <v>23</v>
      </c>
      <c r="O102" s="103">
        <f>OPA_20[[#This Row],[ 2.019 ]]/OPA_20[[#Totals],[ 2.019 ]]</f>
        <v>3.3988473474213091E-3</v>
      </c>
    </row>
    <row r="103" spans="1:15" x14ac:dyDescent="0.2">
      <c r="A103" s="33" t="s">
        <v>193</v>
      </c>
      <c r="B103" s="35">
        <v>1</v>
      </c>
      <c r="C103" s="35">
        <v>0</v>
      </c>
      <c r="D103" s="35">
        <v>1</v>
      </c>
      <c r="E103" s="35">
        <v>1</v>
      </c>
      <c r="F103" s="35">
        <v>1</v>
      </c>
      <c r="G103" s="35">
        <v>1</v>
      </c>
      <c r="H103" s="35">
        <v>0</v>
      </c>
      <c r="I103" s="35">
        <v>1</v>
      </c>
      <c r="J103" s="35">
        <v>0</v>
      </c>
      <c r="K103" s="35">
        <v>1</v>
      </c>
      <c r="L103" s="35"/>
      <c r="M103" s="35"/>
      <c r="N103" s="92">
        <f>SUM(OPA_20[[#This Row],[Jan]:[Dez]])</f>
        <v>7</v>
      </c>
      <c r="O103" s="103">
        <f>OPA_20[[#This Row],[ 2.019 ]]/OPA_20[[#Totals],[ 2.019 ]]</f>
        <v>1.0344318013890941E-3</v>
      </c>
    </row>
    <row r="104" spans="1:15" ht="12" thickBot="1" x14ac:dyDescent="0.25">
      <c r="A104" s="95"/>
      <c r="B104" s="94">
        <f>SUBTOTAL(109,OPA_20[Jan])</f>
        <v>700</v>
      </c>
      <c r="C104" s="94">
        <f>SUBTOTAL(109,OPA_20[Fev])</f>
        <v>588</v>
      </c>
      <c r="D104" s="94">
        <f>SUBTOTAL(109,OPA_20[Mar])</f>
        <v>686</v>
      </c>
      <c r="E104" s="94">
        <f>SUBTOTAL(109,OPA_20[Abr])</f>
        <v>694</v>
      </c>
      <c r="F104" s="94">
        <f>SUBTOTAL(109,OPA_20[Mai])</f>
        <v>675</v>
      </c>
      <c r="G104" s="94">
        <f>SUBTOTAL(109,OPA_20[Jun])</f>
        <v>721</v>
      </c>
      <c r="H104" s="94">
        <f>SUBTOTAL(109,OPA_20[Jul])</f>
        <v>615</v>
      </c>
      <c r="I104" s="94">
        <f>SUBTOTAL(109,OPA_20[Ago])</f>
        <v>676</v>
      </c>
      <c r="J104" s="94">
        <f>SUBTOTAL(109,OPA_20[Set])</f>
        <v>671</v>
      </c>
      <c r="K104" s="94">
        <f>SUBTOTAL(109,OPA_20[Out])</f>
        <v>741</v>
      </c>
      <c r="L104" s="94">
        <f>SUBTOTAL(109,OPA_20[Nov])</f>
        <v>0</v>
      </c>
      <c r="M104" s="94">
        <f>SUBTOTAL(109,OPA_20[Dez])</f>
        <v>0</v>
      </c>
      <c r="N104" s="94">
        <f>SUBTOTAL(109,OPA_20[ 2.019 ])</f>
        <v>6767</v>
      </c>
      <c r="O104" s="104"/>
    </row>
    <row r="105" spans="1:15" ht="13.5" thickTop="1" x14ac:dyDescent="0.2">
      <c r="A105" s="201" t="s">
        <v>194</v>
      </c>
      <c r="B105" s="202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</row>
    <row r="106" spans="1:15" x14ac:dyDescent="0.2">
      <c r="A106" s="34" t="s">
        <v>194</v>
      </c>
      <c r="B106" s="34" t="s">
        <v>63</v>
      </c>
      <c r="C106" s="34" t="s">
        <v>64</v>
      </c>
      <c r="D106" s="34" t="s">
        <v>65</v>
      </c>
      <c r="E106" s="34" t="s">
        <v>66</v>
      </c>
      <c r="F106" s="34" t="s">
        <v>67</v>
      </c>
      <c r="G106" s="34" t="s">
        <v>68</v>
      </c>
      <c r="H106" s="34" t="s">
        <v>69</v>
      </c>
      <c r="I106" s="34" t="s">
        <v>70</v>
      </c>
      <c r="J106" s="34" t="s">
        <v>71</v>
      </c>
      <c r="K106" s="34" t="s">
        <v>72</v>
      </c>
      <c r="L106" s="34" t="s">
        <v>73</v>
      </c>
      <c r="M106" s="34" t="s">
        <v>74</v>
      </c>
      <c r="N106" s="100" t="s">
        <v>276</v>
      </c>
      <c r="O106" s="104" t="s">
        <v>244</v>
      </c>
    </row>
    <row r="107" spans="1:15" x14ac:dyDescent="0.2">
      <c r="A107" s="33" t="s">
        <v>195</v>
      </c>
      <c r="B107" s="35">
        <v>121</v>
      </c>
      <c r="C107" s="35">
        <v>114</v>
      </c>
      <c r="D107" s="35">
        <v>143</v>
      </c>
      <c r="E107" s="35">
        <v>116</v>
      </c>
      <c r="F107" s="35">
        <v>141</v>
      </c>
      <c r="G107" s="35">
        <v>115</v>
      </c>
      <c r="H107" s="35">
        <v>133</v>
      </c>
      <c r="I107" s="35">
        <v>182</v>
      </c>
      <c r="J107" s="35">
        <v>143</v>
      </c>
      <c r="K107" s="35">
        <v>165</v>
      </c>
      <c r="L107" s="35"/>
      <c r="M107" s="35"/>
      <c r="N107" s="92">
        <f>SUM(OPA_2023[[#This Row],[Jan]:[Dez]])</f>
        <v>1373</v>
      </c>
      <c r="O107" s="103">
        <f>OPA_2023[[#This Row],[ 2.019 ]]/OPA_2023[[#Totals],[ 2.019 ]]</f>
        <v>0.20289640904388948</v>
      </c>
    </row>
    <row r="108" spans="1:15" x14ac:dyDescent="0.2">
      <c r="A108" s="33" t="s">
        <v>196</v>
      </c>
      <c r="B108" s="35">
        <v>1</v>
      </c>
      <c r="C108" s="35">
        <v>2</v>
      </c>
      <c r="D108" s="35">
        <v>1</v>
      </c>
      <c r="E108" s="35">
        <v>2</v>
      </c>
      <c r="F108" s="35">
        <v>2</v>
      </c>
      <c r="G108" s="35">
        <v>4</v>
      </c>
      <c r="H108" s="35">
        <v>4</v>
      </c>
      <c r="I108" s="35">
        <v>2</v>
      </c>
      <c r="J108" s="35">
        <v>1</v>
      </c>
      <c r="K108" s="35">
        <v>3</v>
      </c>
      <c r="L108" s="35"/>
      <c r="M108" s="35"/>
      <c r="N108" s="92">
        <f>SUM(OPA_2023[[#This Row],[Jan]:[Dez]])</f>
        <v>22</v>
      </c>
      <c r="O108" s="103">
        <f>OPA_2023[[#This Row],[ 2.019 ]]/OPA_2023[[#Totals],[ 2.019 ]]</f>
        <v>3.2510713757942958E-3</v>
      </c>
    </row>
    <row r="109" spans="1:15" x14ac:dyDescent="0.2">
      <c r="A109" s="33" t="s">
        <v>197</v>
      </c>
      <c r="B109" s="35">
        <v>51</v>
      </c>
      <c r="C109" s="35">
        <v>48</v>
      </c>
      <c r="D109" s="35">
        <v>54</v>
      </c>
      <c r="E109" s="35">
        <v>52</v>
      </c>
      <c r="F109" s="35">
        <v>33</v>
      </c>
      <c r="G109" s="35">
        <v>62</v>
      </c>
      <c r="H109" s="35">
        <v>63</v>
      </c>
      <c r="I109" s="35">
        <v>37</v>
      </c>
      <c r="J109" s="35">
        <v>48</v>
      </c>
      <c r="K109" s="35">
        <v>45</v>
      </c>
      <c r="L109" s="35"/>
      <c r="M109" s="35"/>
      <c r="N109" s="92">
        <f>SUM(OPA_2023[[#This Row],[Jan]:[Dez]])</f>
        <v>493</v>
      </c>
      <c r="O109" s="103">
        <f>OPA_2023[[#This Row],[ 2.019 ]]/OPA_2023[[#Totals],[ 2.019 ]]</f>
        <v>7.2853554012117627E-2</v>
      </c>
    </row>
    <row r="110" spans="1:15" x14ac:dyDescent="0.2">
      <c r="A110" s="33" t="s">
        <v>198</v>
      </c>
      <c r="B110" s="35">
        <v>1</v>
      </c>
      <c r="C110" s="35">
        <v>0</v>
      </c>
      <c r="D110" s="35">
        <v>1</v>
      </c>
      <c r="E110" s="35">
        <v>0</v>
      </c>
      <c r="F110" s="35">
        <v>1</v>
      </c>
      <c r="G110" s="35">
        <v>3</v>
      </c>
      <c r="H110" s="35">
        <v>1</v>
      </c>
      <c r="I110" s="35">
        <v>1</v>
      </c>
      <c r="J110" s="35">
        <v>2</v>
      </c>
      <c r="K110" s="35">
        <v>1</v>
      </c>
      <c r="L110" s="35"/>
      <c r="M110" s="35"/>
      <c r="N110" s="92">
        <f>SUM(OPA_2023[[#This Row],[Jan]:[Dez]])</f>
        <v>11</v>
      </c>
      <c r="O110" s="103">
        <f>OPA_2023[[#This Row],[ 2.019 ]]/OPA_2023[[#Totals],[ 2.019 ]]</f>
        <v>1.6255356878971479E-3</v>
      </c>
    </row>
    <row r="111" spans="1:15" x14ac:dyDescent="0.2">
      <c r="A111" s="33" t="s">
        <v>199</v>
      </c>
      <c r="B111" s="35">
        <v>24</v>
      </c>
      <c r="C111" s="35">
        <v>7</v>
      </c>
      <c r="D111" s="35">
        <v>16</v>
      </c>
      <c r="E111" s="35">
        <v>14</v>
      </c>
      <c r="F111" s="35">
        <v>14</v>
      </c>
      <c r="G111" s="35">
        <v>23</v>
      </c>
      <c r="H111" s="35">
        <v>8</v>
      </c>
      <c r="I111" s="35">
        <v>18</v>
      </c>
      <c r="J111" s="35">
        <v>10</v>
      </c>
      <c r="K111" s="35">
        <v>2</v>
      </c>
      <c r="L111" s="35"/>
      <c r="M111" s="35"/>
      <c r="N111" s="92">
        <f>SUM(OPA_2023[[#This Row],[Jan]:[Dez]])</f>
        <v>136</v>
      </c>
      <c r="O111" s="103">
        <f>OPA_2023[[#This Row],[ 2.019 ]]/OPA_2023[[#Totals],[ 2.019 ]]</f>
        <v>2.0097532141273827E-2</v>
      </c>
    </row>
    <row r="112" spans="1:15" x14ac:dyDescent="0.2">
      <c r="A112" s="33" t="s">
        <v>200</v>
      </c>
      <c r="B112" s="35">
        <v>1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/>
      <c r="M112" s="35"/>
      <c r="N112" s="92">
        <f>SUM(OPA_2023[[#This Row],[Jan]:[Dez]])</f>
        <v>1</v>
      </c>
      <c r="O112" s="103">
        <f>OPA_2023[[#This Row],[ 2.019 ]]/OPA_2023[[#Totals],[ 2.019 ]]</f>
        <v>1.4777597162701344E-4</v>
      </c>
    </row>
    <row r="113" spans="1:15" x14ac:dyDescent="0.2">
      <c r="A113" s="33" t="s">
        <v>201</v>
      </c>
      <c r="B113" s="35">
        <v>112</v>
      </c>
      <c r="C113" s="35">
        <v>77</v>
      </c>
      <c r="D113" s="35">
        <v>87</v>
      </c>
      <c r="E113" s="35">
        <v>90</v>
      </c>
      <c r="F113" s="35">
        <v>68</v>
      </c>
      <c r="G113" s="35">
        <v>72</v>
      </c>
      <c r="H113" s="35">
        <v>59</v>
      </c>
      <c r="I113" s="35">
        <v>59</v>
      </c>
      <c r="J113" s="35">
        <v>62</v>
      </c>
      <c r="K113" s="35">
        <v>67</v>
      </c>
      <c r="L113" s="35"/>
      <c r="M113" s="35"/>
      <c r="N113" s="92">
        <f>SUM(OPA_2023[[#This Row],[Jan]:[Dez]])</f>
        <v>753</v>
      </c>
      <c r="O113" s="103">
        <f>OPA_2023[[#This Row],[ 2.019 ]]/OPA_2023[[#Totals],[ 2.019 ]]</f>
        <v>0.11127530663514112</v>
      </c>
    </row>
    <row r="114" spans="1:15" x14ac:dyDescent="0.2">
      <c r="A114" s="33" t="s">
        <v>202</v>
      </c>
      <c r="B114" s="35">
        <v>57</v>
      </c>
      <c r="C114" s="35">
        <v>58</v>
      </c>
      <c r="D114" s="35">
        <v>58</v>
      </c>
      <c r="E114" s="35">
        <v>44</v>
      </c>
      <c r="F114" s="35">
        <v>76</v>
      </c>
      <c r="G114" s="35">
        <v>92</v>
      </c>
      <c r="H114" s="35">
        <v>61</v>
      </c>
      <c r="I114" s="35">
        <v>57</v>
      </c>
      <c r="J114" s="35">
        <v>26</v>
      </c>
      <c r="K114" s="35">
        <v>17</v>
      </c>
      <c r="L114" s="35"/>
      <c r="M114" s="35"/>
      <c r="N114" s="92">
        <f>SUM(OPA_2023[[#This Row],[Jan]:[Dez]])</f>
        <v>546</v>
      </c>
      <c r="O114" s="103">
        <f>OPA_2023[[#This Row],[ 2.019 ]]/OPA_2023[[#Totals],[ 2.019 ]]</f>
        <v>8.0685680508349344E-2</v>
      </c>
    </row>
    <row r="115" spans="1:15" x14ac:dyDescent="0.2">
      <c r="A115" s="33" t="s">
        <v>174</v>
      </c>
      <c r="B115" s="35">
        <v>318</v>
      </c>
      <c r="C115" s="35">
        <v>274</v>
      </c>
      <c r="D115" s="35">
        <v>322</v>
      </c>
      <c r="E115" s="35">
        <v>373</v>
      </c>
      <c r="F115" s="35">
        <v>334</v>
      </c>
      <c r="G115" s="35">
        <v>346</v>
      </c>
      <c r="H115" s="35">
        <v>282</v>
      </c>
      <c r="I115" s="35">
        <v>316</v>
      </c>
      <c r="J115" s="35">
        <v>378</v>
      </c>
      <c r="K115" s="35">
        <v>429</v>
      </c>
      <c r="L115" s="35"/>
      <c r="M115" s="35"/>
      <c r="N115" s="92">
        <f>SUM(OPA_2023[[#This Row],[Jan]:[Dez]])</f>
        <v>3372</v>
      </c>
      <c r="O115" s="103">
        <f>OPA_2023[[#This Row],[ 2.019 ]]/OPA_2023[[#Totals],[ 2.019 ]]</f>
        <v>0.49830057632628932</v>
      </c>
    </row>
    <row r="116" spans="1:15" x14ac:dyDescent="0.2">
      <c r="A116" s="33" t="s">
        <v>85</v>
      </c>
      <c r="B116" s="35">
        <v>11</v>
      </c>
      <c r="C116" s="35">
        <v>7</v>
      </c>
      <c r="D116" s="35">
        <v>0</v>
      </c>
      <c r="E116" s="35">
        <v>1</v>
      </c>
      <c r="F116" s="35">
        <v>2</v>
      </c>
      <c r="G116" s="35">
        <v>2</v>
      </c>
      <c r="H116" s="35">
        <v>2</v>
      </c>
      <c r="I116" s="35">
        <v>1</v>
      </c>
      <c r="J116" s="35">
        <v>0</v>
      </c>
      <c r="K116" s="35">
        <v>3</v>
      </c>
      <c r="L116" s="35"/>
      <c r="M116" s="35"/>
      <c r="N116" s="92">
        <f>SUM(OPA_2023[[#This Row],[Jan]:[Dez]])</f>
        <v>29</v>
      </c>
      <c r="O116" s="103">
        <f>OPA_2023[[#This Row],[ 2.019 ]]/OPA_2023[[#Totals],[ 2.019 ]]</f>
        <v>4.2855031771833899E-3</v>
      </c>
    </row>
    <row r="117" spans="1:15" x14ac:dyDescent="0.2">
      <c r="A117" s="33" t="s">
        <v>193</v>
      </c>
      <c r="B117" s="35">
        <v>3</v>
      </c>
      <c r="C117" s="35">
        <v>1</v>
      </c>
      <c r="D117" s="35">
        <v>4</v>
      </c>
      <c r="E117" s="35">
        <v>2</v>
      </c>
      <c r="F117" s="35">
        <v>4</v>
      </c>
      <c r="G117" s="35">
        <v>2</v>
      </c>
      <c r="H117" s="35">
        <v>2</v>
      </c>
      <c r="I117" s="35">
        <v>3</v>
      </c>
      <c r="J117" s="35">
        <v>1</v>
      </c>
      <c r="K117" s="35">
        <v>9</v>
      </c>
      <c r="L117" s="35"/>
      <c r="M117" s="35"/>
      <c r="N117" s="92">
        <f>SUM(OPA_2023[[#This Row],[Jan]:[Dez]])</f>
        <v>31</v>
      </c>
      <c r="O117" s="103">
        <f>OPA_2023[[#This Row],[ 2.019 ]]/OPA_2023[[#Totals],[ 2.019 ]]</f>
        <v>4.5810551204374167E-3</v>
      </c>
    </row>
    <row r="118" spans="1:15" x14ac:dyDescent="0.2">
      <c r="A118" s="95"/>
      <c r="B118" s="94">
        <f>SUBTOTAL(109,OPA_2023[Jan])</f>
        <v>700</v>
      </c>
      <c r="C118" s="94">
        <f>SUBTOTAL(109,OPA_2023[Fev])</f>
        <v>588</v>
      </c>
      <c r="D118" s="94">
        <f>SUBTOTAL(109,OPA_2023[Mar])</f>
        <v>686</v>
      </c>
      <c r="E118" s="94">
        <f>SUBTOTAL(109,OPA_2023[Abr])</f>
        <v>694</v>
      </c>
      <c r="F118" s="94">
        <f>SUBTOTAL(109,OPA_2023[Mai])</f>
        <v>675</v>
      </c>
      <c r="G118" s="94">
        <f>SUBTOTAL(109,OPA_2023[Jun])</f>
        <v>721</v>
      </c>
      <c r="H118" s="94">
        <f>SUBTOTAL(109,OPA_2023[Jul])</f>
        <v>615</v>
      </c>
      <c r="I118" s="94">
        <f>SUBTOTAL(109,OPA_2023[Ago])</f>
        <v>676</v>
      </c>
      <c r="J118" s="94">
        <f>SUBTOTAL(109,OPA_2023[Set])</f>
        <v>671</v>
      </c>
      <c r="K118" s="94">
        <f>SUBTOTAL(109,OPA_2023[Out])</f>
        <v>741</v>
      </c>
      <c r="L118" s="94">
        <f>SUBTOTAL(109,OPA_2023[Nov])</f>
        <v>0</v>
      </c>
      <c r="M118" s="94">
        <f>SUBTOTAL(109,OPA_2023[Dez])</f>
        <v>0</v>
      </c>
      <c r="N118" s="94">
        <f>SUBTOTAL(109,OPA_2023[ 2.019 ])</f>
        <v>6767</v>
      </c>
      <c r="O118" s="104"/>
    </row>
  </sheetData>
  <mergeCells count="12">
    <mergeCell ref="A1:O1"/>
    <mergeCell ref="A105:O105"/>
    <mergeCell ref="A4:O4"/>
    <mergeCell ref="A10:O10"/>
    <mergeCell ref="A20:O20"/>
    <mergeCell ref="A28:O28"/>
    <mergeCell ref="A36:O36"/>
    <mergeCell ref="A47:O47"/>
    <mergeCell ref="A55:O55"/>
    <mergeCell ref="A64:O64"/>
    <mergeCell ref="A79:O79"/>
    <mergeCell ref="A90:O90"/>
  </mergeCells>
  <pageMargins left="0.511811024" right="0.511811024" top="0.78740157499999996" bottom="0.78740157499999996" header="0.31496062000000002" footer="0.31496062000000002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rgb="FFFFC000"/>
  </sheetPr>
  <dimension ref="A1:Q79"/>
  <sheetViews>
    <sheetView zoomScaleNormal="100" workbookViewId="0">
      <selection sqref="A1:O1"/>
    </sheetView>
  </sheetViews>
  <sheetFormatPr defaultRowHeight="11.25" x14ac:dyDescent="0.2"/>
  <cols>
    <col min="1" max="1" width="33.7109375" style="33" customWidth="1"/>
    <col min="2" max="14" width="9.140625" style="33"/>
    <col min="15" max="15" width="9.140625" style="96"/>
    <col min="16" max="16384" width="9.140625" style="33"/>
  </cols>
  <sheetData>
    <row r="1" spans="1:15" ht="17.25" thickTop="1" thickBot="1" x14ac:dyDescent="0.3">
      <c r="A1" s="199" t="s">
        <v>277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 ht="12" thickTop="1" x14ac:dyDescent="0.2">
      <c r="A2" s="34" t="s">
        <v>80</v>
      </c>
      <c r="B2" s="34" t="s">
        <v>63</v>
      </c>
      <c r="C2" s="34" t="s">
        <v>64</v>
      </c>
      <c r="D2" s="34" t="s">
        <v>65</v>
      </c>
      <c r="E2" s="34" t="s">
        <v>66</v>
      </c>
      <c r="F2" s="34" t="s">
        <v>67</v>
      </c>
      <c r="G2" s="34" t="s">
        <v>68</v>
      </c>
      <c r="H2" s="34" t="s">
        <v>69</v>
      </c>
      <c r="I2" s="34" t="s">
        <v>70</v>
      </c>
      <c r="J2" s="34" t="s">
        <v>71</v>
      </c>
      <c r="K2" s="34" t="s">
        <v>72</v>
      </c>
      <c r="L2" s="34" t="s">
        <v>73</v>
      </c>
      <c r="M2" s="34" t="s">
        <v>74</v>
      </c>
      <c r="N2" s="93" t="s">
        <v>241</v>
      </c>
    </row>
    <row r="3" spans="1:15" ht="12" thickBot="1" x14ac:dyDescent="0.25">
      <c r="A3" s="33" t="s">
        <v>81</v>
      </c>
      <c r="B3" s="35">
        <v>481</v>
      </c>
      <c r="C3" s="35">
        <v>430</v>
      </c>
      <c r="D3" s="35">
        <v>497</v>
      </c>
      <c r="E3" s="35">
        <v>485</v>
      </c>
      <c r="F3" s="35">
        <v>512</v>
      </c>
      <c r="G3" s="35">
        <v>535</v>
      </c>
      <c r="H3" s="35">
        <v>455</v>
      </c>
      <c r="I3" s="35">
        <v>498</v>
      </c>
      <c r="J3" s="35">
        <v>505</v>
      </c>
      <c r="K3" s="35">
        <v>536</v>
      </c>
      <c r="L3" s="35"/>
      <c r="M3" s="35"/>
      <c r="N3" s="107">
        <f>SUM(ATT_M[[Jan]:[Dez]])</f>
        <v>4934</v>
      </c>
    </row>
    <row r="4" spans="1:15" ht="14.25" thickTop="1" thickBot="1" x14ac:dyDescent="0.25">
      <c r="A4" s="203" t="s">
        <v>82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5" ht="12" thickTop="1" x14ac:dyDescent="0.2">
      <c r="A5" s="34" t="s">
        <v>82</v>
      </c>
      <c r="B5" s="34" t="s">
        <v>63</v>
      </c>
      <c r="C5" s="34" t="s">
        <v>64</v>
      </c>
      <c r="D5" s="34" t="s">
        <v>65</v>
      </c>
      <c r="E5" s="34" t="s">
        <v>66</v>
      </c>
      <c r="F5" s="34" t="s">
        <v>67</v>
      </c>
      <c r="G5" s="34" t="s">
        <v>68</v>
      </c>
      <c r="H5" s="34" t="s">
        <v>69</v>
      </c>
      <c r="I5" s="34" t="s">
        <v>70</v>
      </c>
      <c r="J5" s="34" t="s">
        <v>71</v>
      </c>
      <c r="K5" s="34" t="s">
        <v>72</v>
      </c>
      <c r="L5" s="34" t="s">
        <v>73</v>
      </c>
      <c r="M5" s="34" t="s">
        <v>74</v>
      </c>
      <c r="N5" s="93" t="s">
        <v>241</v>
      </c>
      <c r="O5" s="93" t="s">
        <v>244</v>
      </c>
    </row>
    <row r="6" spans="1:15" x14ac:dyDescent="0.2">
      <c r="A6" s="33" t="s">
        <v>83</v>
      </c>
      <c r="B6" s="35">
        <v>386</v>
      </c>
      <c r="C6" s="35">
        <v>331</v>
      </c>
      <c r="D6" s="35">
        <v>391</v>
      </c>
      <c r="E6" s="35">
        <v>361</v>
      </c>
      <c r="F6" s="35">
        <v>369</v>
      </c>
      <c r="G6" s="35">
        <v>444</v>
      </c>
      <c r="H6" s="35">
        <v>365</v>
      </c>
      <c r="I6" s="35">
        <v>393</v>
      </c>
      <c r="J6" s="35">
        <v>396</v>
      </c>
      <c r="K6" s="35">
        <v>415</v>
      </c>
      <c r="L6" s="35"/>
      <c r="M6" s="35"/>
      <c r="N6" s="107">
        <f>SUM(SEXO_M[[#This Row],[Jan]:[Dez]])</f>
        <v>3851</v>
      </c>
      <c r="O6" s="110">
        <f>SEXO_M[[#This Row],[2019]]/SEXO_M[[#Totals],[2019]]</f>
        <v>0.78050263477908388</v>
      </c>
    </row>
    <row r="7" spans="1:15" x14ac:dyDescent="0.2">
      <c r="A7" s="33" t="s">
        <v>84</v>
      </c>
      <c r="B7" s="35">
        <v>95</v>
      </c>
      <c r="C7" s="35">
        <v>99</v>
      </c>
      <c r="D7" s="35">
        <v>106</v>
      </c>
      <c r="E7" s="35">
        <v>124</v>
      </c>
      <c r="F7" s="35">
        <v>143</v>
      </c>
      <c r="G7" s="35">
        <v>91</v>
      </c>
      <c r="H7" s="35">
        <v>90</v>
      </c>
      <c r="I7" s="35">
        <v>105</v>
      </c>
      <c r="J7" s="35">
        <v>109</v>
      </c>
      <c r="K7" s="35">
        <v>121</v>
      </c>
      <c r="L7" s="35"/>
      <c r="M7" s="35"/>
      <c r="N7" s="107">
        <f>SUM(SEXO_M[[#This Row],[Jan]:[Dez]])</f>
        <v>1083</v>
      </c>
      <c r="O7" s="110">
        <f>SEXO_M[[#This Row],[2019]]/SEXO_M[[#Totals],[2019]]</f>
        <v>0.21949736522091609</v>
      </c>
    </row>
    <row r="8" spans="1:15" x14ac:dyDescent="0.2">
      <c r="A8" s="33" t="s">
        <v>85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/>
      <c r="M8" s="35"/>
      <c r="N8" s="107">
        <f>SUM(SEXO_M[[#This Row],[Jan]:[Dez]])</f>
        <v>0</v>
      </c>
      <c r="O8" s="110">
        <f>SEXO_M[[#This Row],[2019]]/SEXO_M[[#Totals],[2019]]</f>
        <v>0</v>
      </c>
    </row>
    <row r="9" spans="1:15" ht="12" thickBot="1" x14ac:dyDescent="0.25">
      <c r="A9" s="95"/>
      <c r="B9" s="94">
        <f>SUBTOTAL(109,SEXO_M[Jan])</f>
        <v>481</v>
      </c>
      <c r="C9" s="94">
        <f>SUBTOTAL(109,SEXO_M[Fev])</f>
        <v>430</v>
      </c>
      <c r="D9" s="94">
        <f>SUBTOTAL(109,SEXO_M[Mar])</f>
        <v>497</v>
      </c>
      <c r="E9" s="94">
        <f>SUBTOTAL(109,SEXO_M[Abr])</f>
        <v>485</v>
      </c>
      <c r="F9" s="94">
        <f>SUBTOTAL(109,SEXO_M[Mai])</f>
        <v>512</v>
      </c>
      <c r="G9" s="94">
        <f>SUBTOTAL(109,SEXO_M[Jun])</f>
        <v>535</v>
      </c>
      <c r="H9" s="94">
        <f>SUBTOTAL(109,SEXO_M[Jul])</f>
        <v>455</v>
      </c>
      <c r="I9" s="94">
        <f>SUBTOTAL(109,SEXO_M[Ago])</f>
        <v>498</v>
      </c>
      <c r="J9" s="94">
        <f>SUBTOTAL(109,SEXO_M[Set])</f>
        <v>505</v>
      </c>
      <c r="K9" s="94">
        <f>SUBTOTAL(109,SEXO_M[Out])</f>
        <v>536</v>
      </c>
      <c r="L9" s="94">
        <f>SUBTOTAL(109,SEXO_M[Nov])</f>
        <v>0</v>
      </c>
      <c r="M9" s="94">
        <f>SUBTOTAL(109,SEXO_M[Dez])</f>
        <v>0</v>
      </c>
      <c r="N9" s="109">
        <f>SUBTOTAL(109,SEXO_M[2019])</f>
        <v>4934</v>
      </c>
      <c r="O9" s="93"/>
    </row>
    <row r="10" spans="1:15" ht="14.25" thickTop="1" thickBot="1" x14ac:dyDescent="0.25">
      <c r="A10" s="203" t="s">
        <v>86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</row>
    <row r="11" spans="1:15" ht="12" thickTop="1" x14ac:dyDescent="0.2">
      <c r="A11" s="34" t="s">
        <v>86</v>
      </c>
      <c r="B11" s="34" t="s">
        <v>63</v>
      </c>
      <c r="C11" s="34" t="s">
        <v>64</v>
      </c>
      <c r="D11" s="34" t="s">
        <v>65</v>
      </c>
      <c r="E11" s="34" t="s">
        <v>66</v>
      </c>
      <c r="F11" s="34" t="s">
        <v>67</v>
      </c>
      <c r="G11" s="34" t="s">
        <v>68</v>
      </c>
      <c r="H11" s="34" t="s">
        <v>69</v>
      </c>
      <c r="I11" s="34" t="s">
        <v>70</v>
      </c>
      <c r="J11" s="34" t="s">
        <v>71</v>
      </c>
      <c r="K11" s="34" t="s">
        <v>72</v>
      </c>
      <c r="L11" s="34" t="s">
        <v>73</v>
      </c>
      <c r="M11" s="34" t="s">
        <v>74</v>
      </c>
      <c r="N11" s="93" t="s">
        <v>241</v>
      </c>
      <c r="O11" s="93" t="s">
        <v>244</v>
      </c>
    </row>
    <row r="12" spans="1:15" x14ac:dyDescent="0.2">
      <c r="A12" s="37" t="s">
        <v>87</v>
      </c>
      <c r="B12" s="35">
        <v>145</v>
      </c>
      <c r="C12" s="35">
        <v>156</v>
      </c>
      <c r="D12" s="35">
        <v>169</v>
      </c>
      <c r="E12" s="35">
        <v>193</v>
      </c>
      <c r="F12" s="35">
        <v>186</v>
      </c>
      <c r="G12" s="35">
        <v>188</v>
      </c>
      <c r="H12" s="35">
        <v>167</v>
      </c>
      <c r="I12" s="35">
        <v>185</v>
      </c>
      <c r="J12" s="35">
        <v>169</v>
      </c>
      <c r="K12" s="35">
        <v>194</v>
      </c>
      <c r="L12" s="35"/>
      <c r="M12" s="35"/>
      <c r="N12" s="107">
        <f>SUM(NA_M[[#This Row],[Jan]:[Dez]])</f>
        <v>1752</v>
      </c>
      <c r="O12" s="110">
        <f>NA_M[[#This Row],[2019]]/NA_M[[#Totals],[2019]]</f>
        <v>0.35508715038508309</v>
      </c>
    </row>
    <row r="13" spans="1:15" x14ac:dyDescent="0.2">
      <c r="A13" s="37" t="s">
        <v>88</v>
      </c>
      <c r="B13" s="35">
        <v>14</v>
      </c>
      <c r="C13" s="35">
        <v>31</v>
      </c>
      <c r="D13" s="35">
        <v>29</v>
      </c>
      <c r="E13" s="35">
        <v>21</v>
      </c>
      <c r="F13" s="35">
        <v>47</v>
      </c>
      <c r="G13" s="35">
        <v>24</v>
      </c>
      <c r="H13" s="35">
        <v>19</v>
      </c>
      <c r="I13" s="35">
        <v>30</v>
      </c>
      <c r="J13" s="35">
        <v>28</v>
      </c>
      <c r="K13" s="35">
        <v>32</v>
      </c>
      <c r="L13" s="35"/>
      <c r="M13" s="35"/>
      <c r="N13" s="107">
        <f>SUM(NA_M[[#This Row],[Jan]:[Dez]])</f>
        <v>275</v>
      </c>
      <c r="O13" s="110">
        <f>NA_M[[#This Row],[2019]]/NA_M[[#Totals],[2019]]</f>
        <v>5.5735711390352653E-2</v>
      </c>
    </row>
    <row r="14" spans="1:15" x14ac:dyDescent="0.2">
      <c r="A14" s="38" t="s">
        <v>89</v>
      </c>
      <c r="B14" s="35">
        <v>304</v>
      </c>
      <c r="C14" s="35">
        <v>229</v>
      </c>
      <c r="D14" s="35">
        <v>284</v>
      </c>
      <c r="E14" s="35">
        <v>263</v>
      </c>
      <c r="F14" s="35">
        <v>210</v>
      </c>
      <c r="G14" s="35">
        <v>304</v>
      </c>
      <c r="H14" s="35">
        <v>256</v>
      </c>
      <c r="I14" s="35">
        <v>268</v>
      </c>
      <c r="J14" s="35">
        <v>291</v>
      </c>
      <c r="K14" s="35">
        <v>293</v>
      </c>
      <c r="L14" s="35"/>
      <c r="M14" s="35"/>
      <c r="N14" s="107">
        <f>SUM(NA_M[[#This Row],[Jan]:[Dez]])</f>
        <v>2702</v>
      </c>
      <c r="O14" s="110">
        <f>NA_M[[#This Row],[2019]]/NA_M[[#Totals],[2019]]</f>
        <v>0.54762869882448317</v>
      </c>
    </row>
    <row r="15" spans="1:15" x14ac:dyDescent="0.2">
      <c r="A15" s="37" t="s">
        <v>90</v>
      </c>
      <c r="B15" s="35">
        <v>12</v>
      </c>
      <c r="C15" s="35">
        <v>5</v>
      </c>
      <c r="D15" s="35">
        <v>1</v>
      </c>
      <c r="E15" s="35">
        <v>1</v>
      </c>
      <c r="F15" s="35">
        <v>56</v>
      </c>
      <c r="G15" s="35">
        <v>7</v>
      </c>
      <c r="H15" s="35">
        <v>4</v>
      </c>
      <c r="I15" s="35">
        <v>6</v>
      </c>
      <c r="J15" s="35">
        <v>6</v>
      </c>
      <c r="K15" s="35">
        <v>12</v>
      </c>
      <c r="L15" s="35"/>
      <c r="M15" s="35"/>
      <c r="N15" s="107">
        <f>SUM(NA_M[[#This Row],[Jan]:[Dez]])</f>
        <v>110</v>
      </c>
      <c r="O15" s="110">
        <f>NA_M[[#This Row],[2019]]/NA_M[[#Totals],[2019]]</f>
        <v>2.2294284556141061E-2</v>
      </c>
    </row>
    <row r="16" spans="1:15" x14ac:dyDescent="0.2">
      <c r="A16" s="37" t="s">
        <v>91</v>
      </c>
      <c r="B16" s="35">
        <v>4</v>
      </c>
      <c r="C16" s="35">
        <v>4</v>
      </c>
      <c r="D16" s="35">
        <v>10</v>
      </c>
      <c r="E16" s="35">
        <v>6</v>
      </c>
      <c r="F16" s="35">
        <v>5</v>
      </c>
      <c r="G16" s="35">
        <v>11</v>
      </c>
      <c r="H16" s="35">
        <v>9</v>
      </c>
      <c r="I16" s="35">
        <v>5</v>
      </c>
      <c r="J16" s="35">
        <v>10</v>
      </c>
      <c r="K16" s="35">
        <v>5</v>
      </c>
      <c r="L16" s="35"/>
      <c r="M16" s="35"/>
      <c r="N16" s="107">
        <f>SUM(NA_M[[#This Row],[Jan]:[Dez]])</f>
        <v>69</v>
      </c>
      <c r="O16" s="110">
        <f>NA_M[[#This Row],[2019]]/NA_M[[#Totals],[2019]]</f>
        <v>1.3984596676124847E-2</v>
      </c>
    </row>
    <row r="17" spans="1:15" x14ac:dyDescent="0.2">
      <c r="A17" s="39" t="s">
        <v>92</v>
      </c>
      <c r="B17" s="35">
        <v>1</v>
      </c>
      <c r="C17" s="35">
        <v>2</v>
      </c>
      <c r="D17" s="35">
        <v>2</v>
      </c>
      <c r="E17" s="35">
        <v>1</v>
      </c>
      <c r="F17" s="35">
        <v>7</v>
      </c>
      <c r="G17" s="35">
        <v>1</v>
      </c>
      <c r="H17" s="35">
        <v>0</v>
      </c>
      <c r="I17" s="35">
        <v>4</v>
      </c>
      <c r="J17" s="35">
        <v>1</v>
      </c>
      <c r="K17" s="35">
        <v>0</v>
      </c>
      <c r="L17" s="35"/>
      <c r="M17" s="35"/>
      <c r="N17" s="107">
        <f>SUM(NA_M[[#This Row],[Jan]:[Dez]])</f>
        <v>19</v>
      </c>
      <c r="O17" s="110">
        <f>NA_M[[#This Row],[2019]]/NA_M[[#Totals],[2019]]</f>
        <v>3.8508309687880016E-3</v>
      </c>
    </row>
    <row r="18" spans="1:15" x14ac:dyDescent="0.2">
      <c r="A18" s="37" t="s">
        <v>93</v>
      </c>
      <c r="B18" s="35">
        <v>1</v>
      </c>
      <c r="C18" s="35">
        <v>3</v>
      </c>
      <c r="D18" s="35">
        <v>2</v>
      </c>
      <c r="E18" s="35">
        <v>0</v>
      </c>
      <c r="F18" s="35">
        <v>1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/>
      <c r="M18" s="35"/>
      <c r="N18" s="107">
        <f>SUM(NA_M[[#This Row],[Jan]:[Dez]])</f>
        <v>7</v>
      </c>
      <c r="O18" s="110">
        <f>NA_M[[#This Row],[2019]]/NA_M[[#Totals],[2019]]</f>
        <v>1.4187271990271585E-3</v>
      </c>
    </row>
    <row r="19" spans="1:15" ht="12" thickBot="1" x14ac:dyDescent="0.25">
      <c r="A19" s="99"/>
      <c r="B19" s="94">
        <f>SUBTOTAL(109,NA_M[Jan])</f>
        <v>481</v>
      </c>
      <c r="C19" s="94">
        <f>SUBTOTAL(109,NA_M[Fev])</f>
        <v>430</v>
      </c>
      <c r="D19" s="94">
        <f>SUBTOTAL(109,NA_M[Mar])</f>
        <v>497</v>
      </c>
      <c r="E19" s="94">
        <f>SUBTOTAL(109,NA_M[Abr])</f>
        <v>485</v>
      </c>
      <c r="F19" s="94">
        <f>SUBTOTAL(109,NA_M[Mai])</f>
        <v>512</v>
      </c>
      <c r="G19" s="94">
        <f>SUBTOTAL(109,NA_M[Jun])</f>
        <v>535</v>
      </c>
      <c r="H19" s="94">
        <f>SUBTOTAL(109,NA_M[Jul])</f>
        <v>455</v>
      </c>
      <c r="I19" s="94">
        <f>SUBTOTAL(109,NA_M[Ago])</f>
        <v>498</v>
      </c>
      <c r="J19" s="94">
        <f>SUBTOTAL(109,NA_M[Set])</f>
        <v>505</v>
      </c>
      <c r="K19" s="94">
        <f>SUBTOTAL(109,NA_M[Out])</f>
        <v>536</v>
      </c>
      <c r="L19" s="94">
        <f>SUBTOTAL(109,NA_M[Nov])</f>
        <v>0</v>
      </c>
      <c r="M19" s="94">
        <f>SUBTOTAL(109,NA_M[Dez])</f>
        <v>0</v>
      </c>
      <c r="N19" s="109">
        <f>SUBTOTAL(109,NA_M[2019])</f>
        <v>4934</v>
      </c>
      <c r="O19" s="93"/>
    </row>
    <row r="20" spans="1:15" ht="14.25" thickTop="1" thickBot="1" x14ac:dyDescent="0.25">
      <c r="A20" s="203" t="s">
        <v>94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</row>
    <row r="21" spans="1:15" ht="12" thickTop="1" x14ac:dyDescent="0.2">
      <c r="A21" s="34" t="s">
        <v>95</v>
      </c>
      <c r="B21" s="34" t="s">
        <v>63</v>
      </c>
      <c r="C21" s="34" t="s">
        <v>64</v>
      </c>
      <c r="D21" s="34" t="s">
        <v>65</v>
      </c>
      <c r="E21" s="34" t="s">
        <v>66</v>
      </c>
      <c r="F21" s="34" t="s">
        <v>67</v>
      </c>
      <c r="G21" s="34" t="s">
        <v>68</v>
      </c>
      <c r="H21" s="34" t="s">
        <v>69</v>
      </c>
      <c r="I21" s="34" t="s">
        <v>70</v>
      </c>
      <c r="J21" s="34" t="s">
        <v>71</v>
      </c>
      <c r="K21" s="34" t="s">
        <v>72</v>
      </c>
      <c r="L21" s="34" t="s">
        <v>73</v>
      </c>
      <c r="M21" s="34" t="s">
        <v>74</v>
      </c>
      <c r="N21" s="93" t="s">
        <v>241</v>
      </c>
    </row>
    <row r="22" spans="1:15" x14ac:dyDescent="0.2">
      <c r="A22" s="40" t="s">
        <v>96</v>
      </c>
      <c r="B22" s="35">
        <v>118</v>
      </c>
      <c r="C22" s="35">
        <v>88</v>
      </c>
      <c r="D22" s="35">
        <v>94</v>
      </c>
      <c r="E22" s="35">
        <v>76</v>
      </c>
      <c r="F22" s="35">
        <v>91</v>
      </c>
      <c r="G22" s="35">
        <v>147</v>
      </c>
      <c r="H22" s="35">
        <v>154</v>
      </c>
      <c r="I22" s="35">
        <v>93</v>
      </c>
      <c r="J22" s="35">
        <v>77</v>
      </c>
      <c r="K22" s="35">
        <v>75</v>
      </c>
      <c r="L22" s="35"/>
      <c r="M22" s="35"/>
      <c r="N22" s="107">
        <f>SUM(FRA_M[[#This Row],[Jan]:[Dez]])</f>
        <v>1013</v>
      </c>
    </row>
    <row r="23" spans="1:15" x14ac:dyDescent="0.2">
      <c r="A23" s="40" t="s">
        <v>97</v>
      </c>
      <c r="B23" s="35">
        <v>168</v>
      </c>
      <c r="C23" s="35">
        <v>125</v>
      </c>
      <c r="D23" s="35">
        <v>149</v>
      </c>
      <c r="E23" s="35">
        <v>129</v>
      </c>
      <c r="F23" s="35">
        <v>126</v>
      </c>
      <c r="G23" s="35">
        <v>160</v>
      </c>
      <c r="H23" s="35">
        <v>151</v>
      </c>
      <c r="I23" s="35">
        <v>139</v>
      </c>
      <c r="J23" s="35">
        <v>143</v>
      </c>
      <c r="K23" s="35">
        <v>134</v>
      </c>
      <c r="L23" s="35"/>
      <c r="M23" s="35"/>
      <c r="N23" s="107">
        <f>SUM(FRA_M[[#This Row],[Jan]:[Dez]])</f>
        <v>1424</v>
      </c>
    </row>
    <row r="24" spans="1:15" x14ac:dyDescent="0.2">
      <c r="A24" s="36" t="s">
        <v>99</v>
      </c>
      <c r="B24" s="35">
        <v>148</v>
      </c>
      <c r="C24" s="35">
        <v>117</v>
      </c>
      <c r="D24" s="35">
        <v>135</v>
      </c>
      <c r="E24" s="35">
        <v>93</v>
      </c>
      <c r="F24" s="35">
        <v>116</v>
      </c>
      <c r="G24" s="35">
        <v>141</v>
      </c>
      <c r="H24" s="35">
        <v>116</v>
      </c>
      <c r="I24" s="35">
        <v>124</v>
      </c>
      <c r="J24" s="35">
        <v>93</v>
      </c>
      <c r="K24" s="35">
        <v>148</v>
      </c>
      <c r="L24" s="35"/>
      <c r="M24" s="35"/>
      <c r="N24" s="107">
        <f>SUM(FRA_M[[#This Row],[Jan]:[Dez]])</f>
        <v>1231</v>
      </c>
    </row>
    <row r="25" spans="1:15" ht="11.25" customHeight="1" x14ac:dyDescent="0.2">
      <c r="A25" s="40" t="s">
        <v>100</v>
      </c>
      <c r="B25" s="35">
        <v>99</v>
      </c>
      <c r="C25" s="35">
        <v>51</v>
      </c>
      <c r="D25" s="35">
        <v>82</v>
      </c>
      <c r="E25" s="35">
        <v>79</v>
      </c>
      <c r="F25" s="35">
        <v>57</v>
      </c>
      <c r="G25" s="35">
        <v>106</v>
      </c>
      <c r="H25" s="35">
        <v>93</v>
      </c>
      <c r="I25" s="35">
        <v>88</v>
      </c>
      <c r="J25" s="35">
        <v>76</v>
      </c>
      <c r="K25" s="35">
        <v>68</v>
      </c>
      <c r="L25" s="35"/>
      <c r="M25" s="35"/>
      <c r="N25" s="107">
        <f>SUM(FRA_M[[#This Row],[Jan]:[Dez]])</f>
        <v>799</v>
      </c>
    </row>
    <row r="26" spans="1:15" ht="11.25" customHeight="1" thickBot="1" x14ac:dyDescent="0.25">
      <c r="A26" s="108"/>
      <c r="B26" s="94">
        <f>SUBTOTAL(109,FRA_M[Jan])</f>
        <v>533</v>
      </c>
      <c r="C26" s="94">
        <f>SUBTOTAL(109,FRA_M[Fev])</f>
        <v>381</v>
      </c>
      <c r="D26" s="94">
        <f>SUBTOTAL(109,FRA_M[Mar])</f>
        <v>460</v>
      </c>
      <c r="E26" s="94">
        <f>SUBTOTAL(109,FRA_M[Abr])</f>
        <v>377</v>
      </c>
      <c r="F26" s="94">
        <f>SUBTOTAL(109,FRA_M[Mai])</f>
        <v>390</v>
      </c>
      <c r="G26" s="94">
        <f>SUBTOTAL(109,FRA_M[Jun])</f>
        <v>554</v>
      </c>
      <c r="H26" s="94">
        <f>SUBTOTAL(109,FRA_M[Jul])</f>
        <v>514</v>
      </c>
      <c r="I26" s="94">
        <f>SUBTOTAL(109,FRA_M[Ago])</f>
        <v>444</v>
      </c>
      <c r="J26" s="94">
        <f>SUBTOTAL(109,FRA_M[Set])</f>
        <v>389</v>
      </c>
      <c r="K26" s="94">
        <f>SUBTOTAL(109,FRA_M[Out])</f>
        <v>425</v>
      </c>
      <c r="L26" s="94">
        <f>SUBTOTAL(109,FRA_M[Nov])</f>
        <v>0</v>
      </c>
      <c r="M26" s="94">
        <f>SUBTOTAL(109,FRA_M[Dez])</f>
        <v>0</v>
      </c>
      <c r="N26" s="109">
        <f>SUBTOTAL(109,FRA_M[2019])</f>
        <v>4467</v>
      </c>
    </row>
    <row r="27" spans="1:15" ht="14.25" thickTop="1" thickBot="1" x14ac:dyDescent="0.25">
      <c r="A27" s="203" t="s">
        <v>101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</row>
    <row r="28" spans="1:15" ht="12" thickTop="1" x14ac:dyDescent="0.2">
      <c r="A28" s="34" t="s">
        <v>101</v>
      </c>
      <c r="B28" s="34" t="s">
        <v>63</v>
      </c>
      <c r="C28" s="34" t="s">
        <v>64</v>
      </c>
      <c r="D28" s="34" t="s">
        <v>65</v>
      </c>
      <c r="E28" s="34" t="s">
        <v>66</v>
      </c>
      <c r="F28" s="34" t="s">
        <v>67</v>
      </c>
      <c r="G28" s="34" t="s">
        <v>68</v>
      </c>
      <c r="H28" s="34" t="s">
        <v>69</v>
      </c>
      <c r="I28" s="34" t="s">
        <v>70</v>
      </c>
      <c r="J28" s="34" t="s">
        <v>71</v>
      </c>
      <c r="K28" s="34" t="s">
        <v>72</v>
      </c>
      <c r="L28" s="34" t="s">
        <v>73</v>
      </c>
      <c r="M28" s="34" t="s">
        <v>74</v>
      </c>
      <c r="N28" s="93" t="s">
        <v>241</v>
      </c>
      <c r="O28" s="93" t="s">
        <v>244</v>
      </c>
    </row>
    <row r="29" spans="1:15" x14ac:dyDescent="0.2">
      <c r="A29" s="42" t="s">
        <v>102</v>
      </c>
      <c r="B29" s="35">
        <v>5</v>
      </c>
      <c r="C29" s="35">
        <v>9</v>
      </c>
      <c r="D29" s="35">
        <v>5</v>
      </c>
      <c r="E29" s="35">
        <v>4</v>
      </c>
      <c r="F29" s="35">
        <v>7</v>
      </c>
      <c r="G29" s="35">
        <v>7</v>
      </c>
      <c r="H29" s="35">
        <v>3</v>
      </c>
      <c r="I29" s="35">
        <v>6</v>
      </c>
      <c r="J29" s="35">
        <v>4</v>
      </c>
      <c r="K29" s="35">
        <v>5</v>
      </c>
      <c r="L29" s="35"/>
      <c r="M29" s="35"/>
      <c r="N29" s="107">
        <f>SUM(FE_M[[#This Row],[Jan]:[Dez]])</f>
        <v>55</v>
      </c>
      <c r="O29" s="110">
        <f>FE_M[[#This Row],[2019]]/FE_M[[#Totals],[2019]]</f>
        <v>1.1147142278070531E-2</v>
      </c>
    </row>
    <row r="30" spans="1:15" x14ac:dyDescent="0.2">
      <c r="A30" s="42" t="s">
        <v>103</v>
      </c>
      <c r="B30" s="35">
        <v>70</v>
      </c>
      <c r="C30" s="35">
        <v>45</v>
      </c>
      <c r="D30" s="35">
        <v>53</v>
      </c>
      <c r="E30" s="35">
        <v>50</v>
      </c>
      <c r="F30" s="35">
        <v>71</v>
      </c>
      <c r="G30" s="35">
        <v>57</v>
      </c>
      <c r="H30" s="35">
        <v>58</v>
      </c>
      <c r="I30" s="35">
        <v>58</v>
      </c>
      <c r="J30" s="35">
        <v>55</v>
      </c>
      <c r="K30" s="35">
        <v>65</v>
      </c>
      <c r="L30" s="35"/>
      <c r="M30" s="35"/>
      <c r="N30" s="107">
        <f>SUM(FE_M[[#This Row],[Jan]:[Dez]])</f>
        <v>582</v>
      </c>
      <c r="O30" s="110">
        <f>FE_M[[#This Row],[2019]]/FE_M[[#Totals],[2019]]</f>
        <v>0.11795703283340089</v>
      </c>
    </row>
    <row r="31" spans="1:15" x14ac:dyDescent="0.2">
      <c r="A31" s="42" t="s">
        <v>104</v>
      </c>
      <c r="B31" s="35">
        <v>277</v>
      </c>
      <c r="C31" s="35">
        <v>263</v>
      </c>
      <c r="D31" s="35">
        <v>291</v>
      </c>
      <c r="E31" s="35">
        <v>307</v>
      </c>
      <c r="F31" s="35">
        <v>303</v>
      </c>
      <c r="G31" s="35">
        <v>352</v>
      </c>
      <c r="H31" s="35">
        <v>263</v>
      </c>
      <c r="I31" s="35">
        <v>291</v>
      </c>
      <c r="J31" s="35">
        <v>316</v>
      </c>
      <c r="K31" s="35">
        <v>317</v>
      </c>
      <c r="L31" s="35"/>
      <c r="M31" s="35"/>
      <c r="N31" s="107">
        <f>SUM(FE_M[[#This Row],[Jan]:[Dez]])</f>
        <v>2980</v>
      </c>
      <c r="O31" s="110">
        <f>FE_M[[#This Row],[2019]]/FE_M[[#Totals],[2019]]</f>
        <v>0.60397243615727603</v>
      </c>
    </row>
    <row r="32" spans="1:15" x14ac:dyDescent="0.2">
      <c r="A32" s="42" t="s">
        <v>105</v>
      </c>
      <c r="B32" s="35">
        <v>110</v>
      </c>
      <c r="C32" s="35">
        <v>98</v>
      </c>
      <c r="D32" s="35">
        <v>133</v>
      </c>
      <c r="E32" s="35">
        <v>104</v>
      </c>
      <c r="F32" s="35">
        <v>108</v>
      </c>
      <c r="G32" s="35">
        <v>105</v>
      </c>
      <c r="H32" s="35">
        <v>118</v>
      </c>
      <c r="I32" s="35">
        <v>133</v>
      </c>
      <c r="J32" s="35">
        <v>115</v>
      </c>
      <c r="K32" s="35">
        <v>130</v>
      </c>
      <c r="L32" s="35"/>
      <c r="M32" s="35"/>
      <c r="N32" s="107">
        <f>SUM(FE_M[[#This Row],[Jan]:[Dez]])</f>
        <v>1154</v>
      </c>
      <c r="O32" s="110">
        <f>FE_M[[#This Row],[2019]]/FE_M[[#Totals],[2019]]</f>
        <v>0.2338873125253344</v>
      </c>
    </row>
    <row r="33" spans="1:17" x14ac:dyDescent="0.2">
      <c r="A33" s="42" t="s">
        <v>106</v>
      </c>
      <c r="B33" s="35">
        <v>19</v>
      </c>
      <c r="C33" s="35">
        <v>15</v>
      </c>
      <c r="D33" s="35">
        <v>15</v>
      </c>
      <c r="E33" s="35">
        <v>20</v>
      </c>
      <c r="F33" s="35">
        <v>23</v>
      </c>
      <c r="G33" s="35">
        <v>14</v>
      </c>
      <c r="H33" s="35">
        <v>13</v>
      </c>
      <c r="I33" s="35">
        <v>10</v>
      </c>
      <c r="J33" s="35">
        <v>15</v>
      </c>
      <c r="K33" s="35">
        <v>19</v>
      </c>
      <c r="L33" s="35"/>
      <c r="M33" s="35"/>
      <c r="N33" s="107">
        <f>SUM(FE_M[[#This Row],[Jan]:[Dez]])</f>
        <v>163</v>
      </c>
      <c r="O33" s="110">
        <f>FE_M[[#This Row],[2019]]/FE_M[[#Totals],[2019]]</f>
        <v>3.303607620591812E-2</v>
      </c>
    </row>
    <row r="34" spans="1:17" ht="12" thickBot="1" x14ac:dyDescent="0.25">
      <c r="A34" s="95"/>
      <c r="B34" s="94">
        <f>SUBTOTAL(109,FE_M[Jan])</f>
        <v>481</v>
      </c>
      <c r="C34" s="94">
        <f>SUBTOTAL(109,FE_M[Fev])</f>
        <v>430</v>
      </c>
      <c r="D34" s="94">
        <f>SUBTOTAL(109,FE_M[Mar])</f>
        <v>497</v>
      </c>
      <c r="E34" s="94">
        <f>SUBTOTAL(109,FE_M[Abr])</f>
        <v>485</v>
      </c>
      <c r="F34" s="94">
        <f>SUBTOTAL(109,FE_M[Mai])</f>
        <v>512</v>
      </c>
      <c r="G34" s="94">
        <f>SUBTOTAL(109,FE_M[Jun])</f>
        <v>535</v>
      </c>
      <c r="H34" s="94">
        <f>SUBTOTAL(109,FE_M[Jul])</f>
        <v>455</v>
      </c>
      <c r="I34" s="94">
        <f>SUBTOTAL(109,FE_M[Ago])</f>
        <v>498</v>
      </c>
      <c r="J34" s="94">
        <f>SUBTOTAL(109,FE_M[Set])</f>
        <v>505</v>
      </c>
      <c r="K34" s="94">
        <f>SUBTOTAL(109,FE_M[Out])</f>
        <v>536</v>
      </c>
      <c r="L34" s="94">
        <f>SUBTOTAL(109,FE_M[Nov])</f>
        <v>0</v>
      </c>
      <c r="M34" s="94">
        <f>SUBTOTAL(109,FE_M[Dez])</f>
        <v>0</v>
      </c>
      <c r="N34" s="109">
        <f>SUBTOTAL(109,FE_M[2019])</f>
        <v>4934</v>
      </c>
      <c r="O34" s="93"/>
    </row>
    <row r="35" spans="1:17" ht="14.25" thickTop="1" thickBot="1" x14ac:dyDescent="0.25">
      <c r="A35" s="203" t="s">
        <v>107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</row>
    <row r="36" spans="1:17" ht="12" thickTop="1" x14ac:dyDescent="0.2">
      <c r="A36" s="34" t="s">
        <v>107</v>
      </c>
      <c r="B36" s="34" t="s">
        <v>63</v>
      </c>
      <c r="C36" s="34" t="s">
        <v>64</v>
      </c>
      <c r="D36" s="34" t="s">
        <v>65</v>
      </c>
      <c r="E36" s="34" t="s">
        <v>66</v>
      </c>
      <c r="F36" s="34" t="s">
        <v>67</v>
      </c>
      <c r="G36" s="34" t="s">
        <v>68</v>
      </c>
      <c r="H36" s="34" t="s">
        <v>69</v>
      </c>
      <c r="I36" s="34" t="s">
        <v>70</v>
      </c>
      <c r="J36" s="34" t="s">
        <v>71</v>
      </c>
      <c r="K36" s="34" t="s">
        <v>72</v>
      </c>
      <c r="L36" s="34" t="s">
        <v>73</v>
      </c>
      <c r="M36" s="34" t="s">
        <v>74</v>
      </c>
      <c r="N36" s="93" t="s">
        <v>241</v>
      </c>
      <c r="O36" s="93" t="s">
        <v>244</v>
      </c>
    </row>
    <row r="37" spans="1:17" x14ac:dyDescent="0.2">
      <c r="A37" s="33" t="s">
        <v>108</v>
      </c>
      <c r="B37" s="35">
        <v>62</v>
      </c>
      <c r="C37" s="35">
        <v>63</v>
      </c>
      <c r="D37" s="35">
        <v>51</v>
      </c>
      <c r="E37" s="35">
        <v>73</v>
      </c>
      <c r="F37" s="35">
        <v>50</v>
      </c>
      <c r="G37" s="35">
        <v>70</v>
      </c>
      <c r="H37" s="35">
        <v>61</v>
      </c>
      <c r="I37" s="35">
        <v>62</v>
      </c>
      <c r="J37" s="35">
        <v>88</v>
      </c>
      <c r="K37" s="35">
        <v>77</v>
      </c>
      <c r="L37" s="35"/>
      <c r="M37" s="35"/>
      <c r="N37" s="107">
        <f>SUM(DS_M[[#This Row],[Jan]:[Dez]])</f>
        <v>657</v>
      </c>
      <c r="O37" s="110">
        <f>DS_M[[#This Row],[2019]]/DS_M[[#Totals],[2019]]</f>
        <v>0.13315768139440617</v>
      </c>
    </row>
    <row r="38" spans="1:17" x14ac:dyDescent="0.2">
      <c r="A38" s="33" t="s">
        <v>109</v>
      </c>
      <c r="B38" s="35">
        <v>88</v>
      </c>
      <c r="C38" s="35">
        <v>65</v>
      </c>
      <c r="D38" s="35">
        <v>44</v>
      </c>
      <c r="E38" s="35">
        <v>55</v>
      </c>
      <c r="F38" s="35">
        <v>58</v>
      </c>
      <c r="G38" s="35">
        <v>65</v>
      </c>
      <c r="H38" s="35">
        <v>56</v>
      </c>
      <c r="I38" s="35">
        <v>41</v>
      </c>
      <c r="J38" s="35">
        <v>32</v>
      </c>
      <c r="K38" s="35">
        <v>68</v>
      </c>
      <c r="L38" s="35"/>
      <c r="M38" s="35"/>
      <c r="N38" s="107">
        <f>SUM(DS_M[[#This Row],[Jan]:[Dez]])</f>
        <v>572</v>
      </c>
      <c r="O38" s="110">
        <f>DS_M[[#This Row],[2019]]/DS_M[[#Totals],[2019]]</f>
        <v>0.11593027969193352</v>
      </c>
    </row>
    <row r="39" spans="1:17" x14ac:dyDescent="0.2">
      <c r="A39" s="33" t="s">
        <v>110</v>
      </c>
      <c r="B39" s="35">
        <v>62</v>
      </c>
      <c r="C39" s="35">
        <v>47</v>
      </c>
      <c r="D39" s="35">
        <v>52</v>
      </c>
      <c r="E39" s="35">
        <v>51</v>
      </c>
      <c r="F39" s="35">
        <v>61</v>
      </c>
      <c r="G39" s="35">
        <v>56</v>
      </c>
      <c r="H39" s="35">
        <v>60</v>
      </c>
      <c r="I39" s="35">
        <v>64</v>
      </c>
      <c r="J39" s="35">
        <v>51</v>
      </c>
      <c r="K39" s="35">
        <v>62</v>
      </c>
      <c r="L39" s="35"/>
      <c r="M39" s="35"/>
      <c r="N39" s="107">
        <f>SUM(DS_M[[#This Row],[Jan]:[Dez]])</f>
        <v>566</v>
      </c>
      <c r="O39" s="110">
        <f>DS_M[[#This Row],[2019]]/DS_M[[#Totals],[2019]]</f>
        <v>0.11471422780705311</v>
      </c>
      <c r="Q39" s="33" t="s">
        <v>111</v>
      </c>
    </row>
    <row r="40" spans="1:17" x14ac:dyDescent="0.2">
      <c r="A40" s="33" t="s">
        <v>112</v>
      </c>
      <c r="B40" s="35">
        <v>56</v>
      </c>
      <c r="C40" s="35">
        <v>42</v>
      </c>
      <c r="D40" s="35">
        <v>51</v>
      </c>
      <c r="E40" s="35">
        <v>61</v>
      </c>
      <c r="F40" s="35">
        <v>75</v>
      </c>
      <c r="G40" s="35">
        <v>45</v>
      </c>
      <c r="H40" s="35">
        <v>29</v>
      </c>
      <c r="I40" s="35">
        <v>68</v>
      </c>
      <c r="J40" s="35">
        <v>52</v>
      </c>
      <c r="K40" s="35">
        <v>70</v>
      </c>
      <c r="L40" s="35"/>
      <c r="M40" s="35"/>
      <c r="N40" s="107">
        <f>SUM(DS_M[[#This Row],[Jan]:[Dez]])</f>
        <v>549</v>
      </c>
      <c r="O40" s="110">
        <f>DS_M[[#This Row],[2019]]/DS_M[[#Totals],[2019]]</f>
        <v>0.11126874746655857</v>
      </c>
    </row>
    <row r="41" spans="1:17" x14ac:dyDescent="0.2">
      <c r="A41" s="33" t="s">
        <v>113</v>
      </c>
      <c r="B41" s="35">
        <v>34</v>
      </c>
      <c r="C41" s="35">
        <v>58</v>
      </c>
      <c r="D41" s="35">
        <v>71</v>
      </c>
      <c r="E41" s="35">
        <v>61</v>
      </c>
      <c r="F41" s="35">
        <v>78</v>
      </c>
      <c r="G41" s="35">
        <v>87</v>
      </c>
      <c r="H41" s="35">
        <v>55</v>
      </c>
      <c r="I41" s="35">
        <v>69</v>
      </c>
      <c r="J41" s="35">
        <v>67</v>
      </c>
      <c r="K41" s="35">
        <v>66</v>
      </c>
      <c r="L41" s="35"/>
      <c r="M41" s="35"/>
      <c r="N41" s="107">
        <f>SUM(DS_M[[#This Row],[Jan]:[Dez]])</f>
        <v>646</v>
      </c>
      <c r="O41" s="110">
        <f>DS_M[[#This Row],[2019]]/DS_M[[#Totals],[2019]]</f>
        <v>0.13092825293879207</v>
      </c>
    </row>
    <row r="42" spans="1:17" x14ac:dyDescent="0.2">
      <c r="A42" s="33" t="s">
        <v>114</v>
      </c>
      <c r="B42" s="35">
        <v>59</v>
      </c>
      <c r="C42" s="35">
        <v>69</v>
      </c>
      <c r="D42" s="35">
        <v>103</v>
      </c>
      <c r="E42" s="35">
        <v>84</v>
      </c>
      <c r="F42" s="35">
        <v>85</v>
      </c>
      <c r="G42" s="35">
        <v>91</v>
      </c>
      <c r="H42" s="35">
        <v>73</v>
      </c>
      <c r="I42" s="35">
        <v>96</v>
      </c>
      <c r="J42" s="35">
        <v>97</v>
      </c>
      <c r="K42" s="35">
        <v>75</v>
      </c>
      <c r="L42" s="35"/>
      <c r="M42" s="35"/>
      <c r="N42" s="107">
        <f>SUM(DS_M[[#This Row],[Jan]:[Dez]])</f>
        <v>832</v>
      </c>
      <c r="O42" s="110">
        <f>DS_M[[#This Row],[2019]]/DS_M[[#Totals],[2019]]</f>
        <v>0.16862586137008512</v>
      </c>
    </row>
    <row r="43" spans="1:17" x14ac:dyDescent="0.2">
      <c r="A43" s="33" t="s">
        <v>115</v>
      </c>
      <c r="B43" s="35">
        <v>118</v>
      </c>
      <c r="C43" s="35">
        <v>86</v>
      </c>
      <c r="D43" s="35">
        <v>125</v>
      </c>
      <c r="E43" s="35">
        <v>100</v>
      </c>
      <c r="F43" s="35">
        <v>105</v>
      </c>
      <c r="G43" s="35">
        <v>121</v>
      </c>
      <c r="H43" s="35">
        <v>121</v>
      </c>
      <c r="I43" s="35">
        <v>98</v>
      </c>
      <c r="J43" s="35">
        <v>118</v>
      </c>
      <c r="K43" s="35">
        <v>118</v>
      </c>
      <c r="L43" s="35"/>
      <c r="M43" s="35"/>
      <c r="N43" s="107">
        <f>SUM(DS_M[[#This Row],[Jan]:[Dez]])</f>
        <v>1110</v>
      </c>
      <c r="O43" s="110">
        <f>DS_M[[#This Row],[2019]]/DS_M[[#Totals],[2019]]</f>
        <v>0.224969598702878</v>
      </c>
    </row>
    <row r="44" spans="1:17" x14ac:dyDescent="0.2">
      <c r="A44" s="33" t="s">
        <v>85</v>
      </c>
      <c r="B44" s="35">
        <v>2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/>
      <c r="M44" s="35"/>
      <c r="N44" s="107">
        <f>SUM(DS_M[[#This Row],[Jan]:[Dez]])</f>
        <v>2</v>
      </c>
      <c r="O44" s="110">
        <f>DS_M[[#This Row],[2019]]/DS_M[[#Totals],[2019]]</f>
        <v>4.0535062829347385E-4</v>
      </c>
    </row>
    <row r="45" spans="1:17" ht="12" thickBot="1" x14ac:dyDescent="0.25">
      <c r="A45" s="95"/>
      <c r="B45" s="94">
        <f>SUBTOTAL(109,DS_M[Jan])</f>
        <v>481</v>
      </c>
      <c r="C45" s="94">
        <f>SUBTOTAL(109,DS_M[Fev])</f>
        <v>430</v>
      </c>
      <c r="D45" s="94">
        <f>SUBTOTAL(109,DS_M[Mar])</f>
        <v>497</v>
      </c>
      <c r="E45" s="94">
        <f>SUBTOTAL(109,DS_M[Abr])</f>
        <v>485</v>
      </c>
      <c r="F45" s="94">
        <f>SUBTOTAL(109,DS_M[Mai])</f>
        <v>512</v>
      </c>
      <c r="G45" s="94">
        <f>SUBTOTAL(109,DS_M[Jun])</f>
        <v>535</v>
      </c>
      <c r="H45" s="94">
        <f>SUBTOTAL(109,DS_M[Jul])</f>
        <v>455</v>
      </c>
      <c r="I45" s="94">
        <f>SUBTOTAL(109,DS_M[Ago])</f>
        <v>498</v>
      </c>
      <c r="J45" s="94">
        <f>SUBTOTAL(109,DS_M[Set])</f>
        <v>505</v>
      </c>
      <c r="K45" s="94">
        <f>SUBTOTAL(109,DS_M[Out])</f>
        <v>536</v>
      </c>
      <c r="L45" s="94">
        <f>SUBTOTAL(109,DS_M[Nov])</f>
        <v>0</v>
      </c>
      <c r="M45" s="94">
        <f>SUBTOTAL(109,DS_M[Dez])</f>
        <v>0</v>
      </c>
      <c r="N45" s="109">
        <f>SUBTOTAL(109,DS_M[2019])</f>
        <v>4934</v>
      </c>
      <c r="O45" s="93"/>
    </row>
    <row r="46" spans="1:17" ht="14.25" thickTop="1" thickBot="1" x14ac:dyDescent="0.25">
      <c r="A46" s="203" t="s">
        <v>116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</row>
    <row r="47" spans="1:17" ht="12" thickTop="1" x14ac:dyDescent="0.2">
      <c r="A47" s="34" t="s">
        <v>116</v>
      </c>
      <c r="B47" s="34" t="s">
        <v>63</v>
      </c>
      <c r="C47" s="34" t="s">
        <v>64</v>
      </c>
      <c r="D47" s="34" t="s">
        <v>65</v>
      </c>
      <c r="E47" s="34" t="s">
        <v>66</v>
      </c>
      <c r="F47" s="34" t="s">
        <v>67</v>
      </c>
      <c r="G47" s="34" t="s">
        <v>68</v>
      </c>
      <c r="H47" s="34" t="s">
        <v>69</v>
      </c>
      <c r="I47" s="34" t="s">
        <v>70</v>
      </c>
      <c r="J47" s="34" t="s">
        <v>71</v>
      </c>
      <c r="K47" s="34" t="s">
        <v>72</v>
      </c>
      <c r="L47" s="34" t="s">
        <v>73</v>
      </c>
      <c r="M47" s="34" t="s">
        <v>74</v>
      </c>
      <c r="N47" s="93" t="s">
        <v>241</v>
      </c>
      <c r="O47" s="93" t="s">
        <v>244</v>
      </c>
    </row>
    <row r="48" spans="1:17" x14ac:dyDescent="0.2">
      <c r="A48" s="39" t="s">
        <v>117</v>
      </c>
      <c r="B48" s="35">
        <v>8</v>
      </c>
      <c r="C48" s="35">
        <v>13</v>
      </c>
      <c r="D48" s="35">
        <v>9</v>
      </c>
      <c r="E48" s="35">
        <v>14</v>
      </c>
      <c r="F48" s="35">
        <v>6</v>
      </c>
      <c r="G48" s="35">
        <v>12</v>
      </c>
      <c r="H48" s="35">
        <v>8</v>
      </c>
      <c r="I48" s="35">
        <v>19</v>
      </c>
      <c r="J48" s="35">
        <v>18</v>
      </c>
      <c r="K48" s="35">
        <v>11</v>
      </c>
      <c r="L48" s="35"/>
      <c r="M48" s="35"/>
      <c r="N48" s="107">
        <f>SUM(ART_M[[#This Row],[Jan]:[Dez]])</f>
        <v>118</v>
      </c>
      <c r="O48" s="110">
        <f>ART_M[[#This Row],[2019]]/ART_M[[#Totals],[2019]]</f>
        <v>2.3915687069314958E-2</v>
      </c>
    </row>
    <row r="49" spans="1:15" x14ac:dyDescent="0.2">
      <c r="A49" s="39" t="s">
        <v>118</v>
      </c>
      <c r="B49" s="35">
        <v>51</v>
      </c>
      <c r="C49" s="35">
        <v>62</v>
      </c>
      <c r="D49" s="35">
        <v>52</v>
      </c>
      <c r="E49" s="35">
        <v>47</v>
      </c>
      <c r="F49" s="35">
        <v>39</v>
      </c>
      <c r="G49" s="35">
        <v>42</v>
      </c>
      <c r="H49" s="35">
        <v>46</v>
      </c>
      <c r="I49" s="35">
        <v>58</v>
      </c>
      <c r="J49" s="35">
        <v>54</v>
      </c>
      <c r="K49" s="35">
        <v>36</v>
      </c>
      <c r="L49" s="35"/>
      <c r="M49" s="35"/>
      <c r="N49" s="107">
        <f>SUM(ART_M[[#This Row],[Jan]:[Dez]])</f>
        <v>487</v>
      </c>
      <c r="O49" s="110">
        <f>ART_M[[#This Row],[2019]]/ART_M[[#Totals],[2019]]</f>
        <v>9.8702877989460883E-2</v>
      </c>
    </row>
    <row r="50" spans="1:15" x14ac:dyDescent="0.2">
      <c r="A50" s="38" t="s">
        <v>119</v>
      </c>
      <c r="B50" s="35">
        <v>187</v>
      </c>
      <c r="C50" s="35">
        <v>203</v>
      </c>
      <c r="D50" s="35">
        <v>225</v>
      </c>
      <c r="E50" s="35">
        <v>205</v>
      </c>
      <c r="F50" s="35">
        <v>203</v>
      </c>
      <c r="G50" s="35">
        <v>242</v>
      </c>
      <c r="H50" s="35">
        <v>212</v>
      </c>
      <c r="I50" s="35">
        <v>233</v>
      </c>
      <c r="J50" s="35">
        <v>232</v>
      </c>
      <c r="K50" s="35">
        <v>296</v>
      </c>
      <c r="L50" s="35"/>
      <c r="M50" s="35"/>
      <c r="N50" s="107">
        <f>SUM(ART_M[[#This Row],[Jan]:[Dez]])</f>
        <v>2238</v>
      </c>
      <c r="O50" s="110">
        <f>ART_M[[#This Row],[2019]]/ART_M[[#Totals],[2019]]</f>
        <v>0.45358735306039727</v>
      </c>
    </row>
    <row r="51" spans="1:15" x14ac:dyDescent="0.2">
      <c r="A51" s="37" t="s">
        <v>120</v>
      </c>
      <c r="B51" s="35">
        <v>81</v>
      </c>
      <c r="C51" s="35">
        <v>36</v>
      </c>
      <c r="D51" s="35">
        <v>31</v>
      </c>
      <c r="E51" s="35">
        <v>43</v>
      </c>
      <c r="F51" s="35">
        <v>42</v>
      </c>
      <c r="G51" s="35">
        <v>52</v>
      </c>
      <c r="H51" s="35">
        <v>48</v>
      </c>
      <c r="I51" s="35">
        <v>34</v>
      </c>
      <c r="J51" s="35">
        <v>36</v>
      </c>
      <c r="K51" s="35">
        <v>32</v>
      </c>
      <c r="L51" s="35"/>
      <c r="M51" s="35"/>
      <c r="N51" s="107">
        <f>SUM(ART_M[[#This Row],[Jan]:[Dez]])</f>
        <v>435</v>
      </c>
      <c r="O51" s="110">
        <f>ART_M[[#This Row],[2019]]/ART_M[[#Totals],[2019]]</f>
        <v>8.8163761653830566E-2</v>
      </c>
    </row>
    <row r="52" spans="1:15" x14ac:dyDescent="0.2">
      <c r="A52" s="37" t="s">
        <v>92</v>
      </c>
      <c r="B52" s="35">
        <v>154</v>
      </c>
      <c r="C52" s="35">
        <v>116</v>
      </c>
      <c r="D52" s="35">
        <v>180</v>
      </c>
      <c r="E52" s="35">
        <v>176</v>
      </c>
      <c r="F52" s="35">
        <v>222</v>
      </c>
      <c r="G52" s="35">
        <v>187</v>
      </c>
      <c r="H52" s="35">
        <v>141</v>
      </c>
      <c r="I52" s="35">
        <v>154</v>
      </c>
      <c r="J52" s="35">
        <v>165</v>
      </c>
      <c r="K52" s="35">
        <v>161</v>
      </c>
      <c r="L52" s="35"/>
      <c r="M52" s="35"/>
      <c r="N52" s="107">
        <f>SUM(ART_M[[#This Row],[Jan]:[Dez]])</f>
        <v>1656</v>
      </c>
      <c r="O52" s="110">
        <f>ART_M[[#This Row],[2019]]/ART_M[[#Totals],[2019]]</f>
        <v>0.33563032022699635</v>
      </c>
    </row>
    <row r="53" spans="1:15" ht="11.25" customHeight="1" thickBot="1" x14ac:dyDescent="0.3">
      <c r="A53" s="53"/>
      <c r="B53" s="94">
        <f>SUBTOTAL(109,ART_M[Jan])</f>
        <v>481</v>
      </c>
      <c r="C53" s="94">
        <f>SUBTOTAL(109,ART_M[Fev])</f>
        <v>430</v>
      </c>
      <c r="D53" s="94">
        <f>SUBTOTAL(109,ART_M[Mar])</f>
        <v>497</v>
      </c>
      <c r="E53" s="94">
        <f>SUBTOTAL(109,ART_M[Abr])</f>
        <v>485</v>
      </c>
      <c r="F53" s="94">
        <f>SUBTOTAL(109,ART_M[Mai])</f>
        <v>512</v>
      </c>
      <c r="G53" s="94">
        <f>SUBTOTAL(109,ART_M[Jun])</f>
        <v>535</v>
      </c>
      <c r="H53" s="94">
        <f>SUBTOTAL(109,ART_M[Jul])</f>
        <v>455</v>
      </c>
      <c r="I53" s="94">
        <f>SUBTOTAL(109,ART_M[Ago])</f>
        <v>498</v>
      </c>
      <c r="J53" s="94">
        <f>SUBTOTAL(109,ART_M[Set])</f>
        <v>505</v>
      </c>
      <c r="K53" s="94">
        <f>SUBTOTAL(109,ART_M[Out])</f>
        <v>536</v>
      </c>
      <c r="L53" s="94">
        <f>SUBTOTAL(109,ART_M[Nov])</f>
        <v>0</v>
      </c>
      <c r="M53" s="94">
        <f>SUBTOTAL(109,ART_M[Dez])</f>
        <v>0</v>
      </c>
      <c r="N53" s="109">
        <f>SUBTOTAL(109,ART_M[2019])</f>
        <v>4934</v>
      </c>
      <c r="O53" s="93"/>
    </row>
    <row r="54" spans="1:15" ht="14.25" thickTop="1" thickBot="1" x14ac:dyDescent="0.25">
      <c r="A54" s="203" t="s">
        <v>127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</row>
    <row r="55" spans="1:15" ht="12" thickTop="1" x14ac:dyDescent="0.2">
      <c r="A55" s="34" t="s">
        <v>127</v>
      </c>
      <c r="B55" s="34" t="s">
        <v>63</v>
      </c>
      <c r="C55" s="34" t="s">
        <v>64</v>
      </c>
      <c r="D55" s="34" t="s">
        <v>65</v>
      </c>
      <c r="E55" s="34" t="s">
        <v>66</v>
      </c>
      <c r="F55" s="34" t="s">
        <v>67</v>
      </c>
      <c r="G55" s="34" t="s">
        <v>68</v>
      </c>
      <c r="H55" s="34" t="s">
        <v>69</v>
      </c>
      <c r="I55" s="34" t="s">
        <v>70</v>
      </c>
      <c r="J55" s="34" t="s">
        <v>71</v>
      </c>
      <c r="K55" s="34" t="s">
        <v>72</v>
      </c>
      <c r="L55" s="34" t="s">
        <v>73</v>
      </c>
      <c r="M55" s="34" t="s">
        <v>74</v>
      </c>
      <c r="N55" s="93" t="s">
        <v>241</v>
      </c>
      <c r="O55" s="93" t="s">
        <v>244</v>
      </c>
    </row>
    <row r="56" spans="1:15" x14ac:dyDescent="0.2">
      <c r="A56" s="33" t="s">
        <v>123</v>
      </c>
      <c r="B56" s="35">
        <v>73</v>
      </c>
      <c r="C56" s="35">
        <v>91</v>
      </c>
      <c r="D56" s="35">
        <v>100</v>
      </c>
      <c r="E56" s="35">
        <v>108</v>
      </c>
      <c r="F56" s="35">
        <v>104</v>
      </c>
      <c r="G56" s="35">
        <v>109</v>
      </c>
      <c r="H56" s="35">
        <v>100</v>
      </c>
      <c r="I56" s="35">
        <v>104</v>
      </c>
      <c r="J56" s="35">
        <v>92</v>
      </c>
      <c r="K56" s="35">
        <v>112</v>
      </c>
      <c r="L56" s="35"/>
      <c r="M56" s="35"/>
      <c r="N56" s="107">
        <f>SUM(OPA_M[[#This Row],[Jan]:[Dez]])</f>
        <v>993</v>
      </c>
      <c r="O56" s="110">
        <f>OPA_M[[#This Row],[2019]]/OPA_M[[#Totals],[2019]]</f>
        <v>0.20125658694770976</v>
      </c>
    </row>
    <row r="57" spans="1:15" x14ac:dyDescent="0.2">
      <c r="A57" s="33" t="s">
        <v>124</v>
      </c>
      <c r="B57" s="35">
        <v>36</v>
      </c>
      <c r="C57" s="35">
        <v>49</v>
      </c>
      <c r="D57" s="35">
        <v>39</v>
      </c>
      <c r="E57" s="35">
        <v>54</v>
      </c>
      <c r="F57" s="35">
        <v>54</v>
      </c>
      <c r="G57" s="35">
        <v>56</v>
      </c>
      <c r="H57" s="35">
        <v>32</v>
      </c>
      <c r="I57" s="35">
        <v>59</v>
      </c>
      <c r="J57" s="35">
        <v>49</v>
      </c>
      <c r="K57" s="35">
        <v>61</v>
      </c>
      <c r="L57" s="35"/>
      <c r="M57" s="35"/>
      <c r="N57" s="107">
        <f>SUM(OPA_M[[#This Row],[Jan]:[Dez]])</f>
        <v>489</v>
      </c>
      <c r="O57" s="110">
        <f>OPA_M[[#This Row],[2019]]/OPA_M[[#Totals],[2019]]</f>
        <v>9.9108228617754354E-2</v>
      </c>
    </row>
    <row r="58" spans="1:15" x14ac:dyDescent="0.2">
      <c r="A58" s="33" t="s">
        <v>125</v>
      </c>
      <c r="B58" s="35">
        <v>4</v>
      </c>
      <c r="C58" s="35">
        <v>4</v>
      </c>
      <c r="D58" s="35">
        <v>3</v>
      </c>
      <c r="E58" s="35">
        <v>4</v>
      </c>
      <c r="F58" s="35">
        <v>8</v>
      </c>
      <c r="G58" s="35">
        <v>3</v>
      </c>
      <c r="H58" s="35">
        <v>5</v>
      </c>
      <c r="I58" s="35">
        <v>4</v>
      </c>
      <c r="J58" s="35">
        <v>2</v>
      </c>
      <c r="K58" s="35">
        <v>6</v>
      </c>
      <c r="L58" s="35"/>
      <c r="M58" s="35"/>
      <c r="N58" s="107">
        <f>SUM(OPA_M[[#This Row],[Jan]:[Dez]])</f>
        <v>43</v>
      </c>
      <c r="O58" s="110">
        <f>OPA_M[[#This Row],[2019]]/OPA_M[[#Totals],[2019]]</f>
        <v>8.7150385083096873E-3</v>
      </c>
    </row>
    <row r="59" spans="1:15" x14ac:dyDescent="0.2">
      <c r="A59" s="33" t="s">
        <v>128</v>
      </c>
      <c r="B59" s="35">
        <v>2</v>
      </c>
      <c r="C59" s="35">
        <v>1</v>
      </c>
      <c r="D59" s="35">
        <v>1</v>
      </c>
      <c r="E59" s="35">
        <v>0</v>
      </c>
      <c r="F59" s="35">
        <v>2</v>
      </c>
      <c r="G59" s="35">
        <v>4</v>
      </c>
      <c r="H59" s="35">
        <v>4</v>
      </c>
      <c r="I59" s="35">
        <v>2</v>
      </c>
      <c r="J59" s="35">
        <v>2</v>
      </c>
      <c r="K59" s="35">
        <v>4</v>
      </c>
      <c r="L59" s="35"/>
      <c r="M59" s="35"/>
      <c r="N59" s="107">
        <f>SUM(OPA_M[[#This Row],[Jan]:[Dez]])</f>
        <v>22</v>
      </c>
      <c r="O59" s="110">
        <f>OPA_M[[#This Row],[2019]]/OPA_M[[#Totals],[2019]]</f>
        <v>4.4588569112282124E-3</v>
      </c>
    </row>
    <row r="60" spans="1:15" x14ac:dyDescent="0.2">
      <c r="A60" s="33" t="s">
        <v>129</v>
      </c>
      <c r="B60" s="35">
        <v>4</v>
      </c>
      <c r="C60" s="35">
        <v>4</v>
      </c>
      <c r="D60" s="35">
        <v>11</v>
      </c>
      <c r="E60" s="35">
        <v>6</v>
      </c>
      <c r="F60" s="35">
        <v>5</v>
      </c>
      <c r="G60" s="35">
        <v>11</v>
      </c>
      <c r="H60" s="35">
        <v>8</v>
      </c>
      <c r="I60" s="35">
        <v>5</v>
      </c>
      <c r="J60" s="35">
        <v>10</v>
      </c>
      <c r="K60" s="35">
        <v>5</v>
      </c>
      <c r="L60" s="35"/>
      <c r="M60" s="35"/>
      <c r="N60" s="107">
        <f>SUM(OPA_M[[#This Row],[Jan]:[Dez]])</f>
        <v>69</v>
      </c>
      <c r="O60" s="110">
        <f>OPA_M[[#This Row],[2019]]/OPA_M[[#Totals],[2019]]</f>
        <v>1.3984596676124847E-2</v>
      </c>
    </row>
    <row r="61" spans="1:15" x14ac:dyDescent="0.2">
      <c r="A61" s="33" t="s">
        <v>130</v>
      </c>
      <c r="B61" s="35">
        <v>14</v>
      </c>
      <c r="C61" s="35">
        <v>29</v>
      </c>
      <c r="D61" s="35">
        <v>29</v>
      </c>
      <c r="E61" s="35">
        <v>21</v>
      </c>
      <c r="F61" s="35">
        <v>46</v>
      </c>
      <c r="G61" s="35">
        <v>21</v>
      </c>
      <c r="H61" s="35">
        <v>17</v>
      </c>
      <c r="I61" s="35">
        <v>28</v>
      </c>
      <c r="J61" s="35">
        <v>26</v>
      </c>
      <c r="K61" s="35">
        <v>29</v>
      </c>
      <c r="L61" s="35"/>
      <c r="M61" s="35"/>
      <c r="N61" s="107">
        <f>SUM(OPA_M[[#This Row],[Jan]:[Dez]])</f>
        <v>260</v>
      </c>
      <c r="O61" s="110">
        <f>OPA_M[[#This Row],[2019]]/OPA_M[[#Totals],[2019]]</f>
        <v>5.2695581678151603E-2</v>
      </c>
    </row>
    <row r="62" spans="1:15" x14ac:dyDescent="0.2">
      <c r="A62" s="33" t="s">
        <v>131</v>
      </c>
      <c r="B62" s="35">
        <v>5</v>
      </c>
      <c r="C62" s="35">
        <v>4</v>
      </c>
      <c r="D62" s="35">
        <v>6</v>
      </c>
      <c r="E62" s="35">
        <v>5</v>
      </c>
      <c r="F62" s="35">
        <v>0</v>
      </c>
      <c r="G62" s="35">
        <v>4</v>
      </c>
      <c r="H62" s="35">
        <v>5</v>
      </c>
      <c r="I62" s="35">
        <v>7</v>
      </c>
      <c r="J62" s="35">
        <v>11</v>
      </c>
      <c r="K62" s="35">
        <v>6</v>
      </c>
      <c r="L62" s="35"/>
      <c r="M62" s="35"/>
      <c r="N62" s="107">
        <f>SUM(OPA_M[[#This Row],[Jan]:[Dez]])</f>
        <v>53</v>
      </c>
      <c r="O62" s="110">
        <f>OPA_M[[#This Row],[2019]]/OPA_M[[#Totals],[2019]]</f>
        <v>1.0741791649777057E-2</v>
      </c>
    </row>
    <row r="63" spans="1:15" x14ac:dyDescent="0.2">
      <c r="A63" s="33" t="s">
        <v>173</v>
      </c>
      <c r="B63" s="35">
        <v>15</v>
      </c>
      <c r="C63" s="35">
        <v>0</v>
      </c>
      <c r="D63" s="35">
        <v>6</v>
      </c>
      <c r="E63" s="35">
        <v>1</v>
      </c>
      <c r="F63" s="35">
        <v>3</v>
      </c>
      <c r="G63" s="35">
        <v>2</v>
      </c>
      <c r="H63" s="35">
        <v>2</v>
      </c>
      <c r="I63" s="35">
        <v>0</v>
      </c>
      <c r="J63" s="35">
        <v>0</v>
      </c>
      <c r="K63" s="35">
        <v>0</v>
      </c>
      <c r="L63" s="35"/>
      <c r="M63" s="35"/>
      <c r="N63" s="107">
        <f>SUM(OPA_M[[#This Row],[Jan]:[Dez]])</f>
        <v>29</v>
      </c>
      <c r="O63" s="110">
        <f>OPA_M[[#This Row],[2019]]/OPA_M[[#Totals],[2019]]</f>
        <v>5.8775841102553707E-3</v>
      </c>
    </row>
    <row r="64" spans="1:15" x14ac:dyDescent="0.2">
      <c r="A64" s="33" t="s">
        <v>132</v>
      </c>
      <c r="B64" s="35">
        <v>0</v>
      </c>
      <c r="C64" s="35">
        <v>2</v>
      </c>
      <c r="D64" s="35">
        <v>2</v>
      </c>
      <c r="E64" s="35">
        <v>0</v>
      </c>
      <c r="F64" s="35">
        <v>1</v>
      </c>
      <c r="G64" s="35">
        <v>2</v>
      </c>
      <c r="H64" s="35">
        <v>2</v>
      </c>
      <c r="I64" s="35">
        <v>2</v>
      </c>
      <c r="J64" s="35">
        <v>1</v>
      </c>
      <c r="K64" s="35">
        <v>3</v>
      </c>
      <c r="L64" s="35"/>
      <c r="M64" s="35"/>
      <c r="N64" s="107">
        <f>SUM(OPA_M[[#This Row],[Jan]:[Dez]])</f>
        <v>15</v>
      </c>
      <c r="O64" s="110">
        <f>OPA_M[[#This Row],[2019]]/OPA_M[[#Totals],[2019]]</f>
        <v>3.0401297122010537E-3</v>
      </c>
    </row>
    <row r="65" spans="1:15" x14ac:dyDescent="0.2">
      <c r="A65" s="33" t="s">
        <v>174</v>
      </c>
      <c r="B65" s="35">
        <v>10</v>
      </c>
      <c r="C65" s="35">
        <v>5</v>
      </c>
      <c r="D65" s="35">
        <v>7</v>
      </c>
      <c r="E65" s="35">
        <v>16</v>
      </c>
      <c r="F65" s="35">
        <v>9</v>
      </c>
      <c r="G65" s="35">
        <v>7</v>
      </c>
      <c r="H65" s="35">
        <v>16</v>
      </c>
      <c r="I65" s="35">
        <v>4</v>
      </c>
      <c r="J65" s="35">
        <v>11</v>
      </c>
      <c r="K65" s="35">
        <v>4</v>
      </c>
      <c r="L65" s="35"/>
      <c r="M65" s="35"/>
      <c r="N65" s="107">
        <f>SUM(OPA_M[[#This Row],[Jan]:[Dez]])</f>
        <v>89</v>
      </c>
      <c r="O65" s="110">
        <f>OPA_M[[#This Row],[2019]]/OPA_M[[#Totals],[2019]]</f>
        <v>1.8038102959059586E-2</v>
      </c>
    </row>
    <row r="66" spans="1:15" x14ac:dyDescent="0.2">
      <c r="A66" s="33" t="s">
        <v>120</v>
      </c>
      <c r="B66" s="35">
        <v>316</v>
      </c>
      <c r="C66" s="35">
        <v>238</v>
      </c>
      <c r="D66" s="35">
        <v>286</v>
      </c>
      <c r="E66" s="35">
        <v>264</v>
      </c>
      <c r="F66" s="35">
        <v>267</v>
      </c>
      <c r="G66" s="35">
        <v>311</v>
      </c>
      <c r="H66" s="35">
        <v>260</v>
      </c>
      <c r="I66" s="35">
        <v>275</v>
      </c>
      <c r="J66" s="35">
        <v>297</v>
      </c>
      <c r="K66" s="35">
        <v>305</v>
      </c>
      <c r="L66" s="35"/>
      <c r="M66" s="35"/>
      <c r="N66" s="107">
        <f>SUM(OPA_M[[#This Row],[Jan]:[Dez]])</f>
        <v>2819</v>
      </c>
      <c r="O66" s="110">
        <f>OPA_M[[#This Row],[2019]]/OPA_M[[#Totals],[2019]]</f>
        <v>0.57134171057965144</v>
      </c>
    </row>
    <row r="67" spans="1:15" x14ac:dyDescent="0.2">
      <c r="A67" s="33" t="s">
        <v>85</v>
      </c>
      <c r="B67" s="35">
        <v>2</v>
      </c>
      <c r="C67" s="35">
        <v>3</v>
      </c>
      <c r="D67" s="35">
        <v>7</v>
      </c>
      <c r="E67" s="35">
        <v>6</v>
      </c>
      <c r="F67" s="35">
        <v>13</v>
      </c>
      <c r="G67" s="35">
        <v>5</v>
      </c>
      <c r="H67" s="35">
        <v>4</v>
      </c>
      <c r="I67" s="35">
        <v>8</v>
      </c>
      <c r="J67" s="35">
        <v>4</v>
      </c>
      <c r="K67" s="35">
        <v>1</v>
      </c>
      <c r="L67" s="35"/>
      <c r="M67" s="35"/>
      <c r="N67" s="107">
        <f>SUM(OPA_M[[#This Row],[Jan]:[Dez]])</f>
        <v>53</v>
      </c>
      <c r="O67" s="110">
        <f>OPA_M[[#This Row],[2019]]/OPA_M[[#Totals],[2019]]</f>
        <v>1.0741791649777057E-2</v>
      </c>
    </row>
    <row r="68" spans="1:15" ht="12" thickBot="1" x14ac:dyDescent="0.25">
      <c r="A68" s="95"/>
      <c r="B68" s="94">
        <f>SUBTOTAL(109,OPA_M[Jan])</f>
        <v>481</v>
      </c>
      <c r="C68" s="94">
        <f>SUBTOTAL(109,OPA_M[Fev])</f>
        <v>430</v>
      </c>
      <c r="D68" s="94">
        <f>SUBTOTAL(109,OPA_M[Mar])</f>
        <v>497</v>
      </c>
      <c r="E68" s="94">
        <f>SUBTOTAL(109,OPA_M[Abr])</f>
        <v>485</v>
      </c>
      <c r="F68" s="94">
        <f>SUBTOTAL(109,OPA_M[Mai])</f>
        <v>512</v>
      </c>
      <c r="G68" s="94">
        <f>SUBTOTAL(109,OPA_M[Jun])</f>
        <v>535</v>
      </c>
      <c r="H68" s="94">
        <f>SUBTOTAL(109,OPA_M[Jul])</f>
        <v>455</v>
      </c>
      <c r="I68" s="94">
        <f>SUBTOTAL(109,OPA_M[Ago])</f>
        <v>498</v>
      </c>
      <c r="J68" s="94">
        <f>SUBTOTAL(109,OPA_M[Set])</f>
        <v>505</v>
      </c>
      <c r="K68" s="94">
        <f>SUBTOTAL(109,OPA_M[Out])</f>
        <v>536</v>
      </c>
      <c r="L68" s="94">
        <f>SUBTOTAL(109,OPA_M[Nov])</f>
        <v>0</v>
      </c>
      <c r="M68" s="94">
        <f>SUBTOTAL(109,OPA_M[Dez])</f>
        <v>0</v>
      </c>
      <c r="N68" s="109">
        <f>SUBTOTAL(109,OPA_M[2019])</f>
        <v>4934</v>
      </c>
      <c r="O68" s="93"/>
    </row>
    <row r="69" spans="1:15" ht="14.25" thickTop="1" thickBot="1" x14ac:dyDescent="0.25">
      <c r="A69" s="203" t="s">
        <v>175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</row>
    <row r="70" spans="1:15" ht="12" thickTop="1" x14ac:dyDescent="0.2">
      <c r="A70" s="34" t="s">
        <v>175</v>
      </c>
      <c r="B70" s="34" t="s">
        <v>63</v>
      </c>
      <c r="C70" s="34" t="s">
        <v>64</v>
      </c>
      <c r="D70" s="34" t="s">
        <v>65</v>
      </c>
      <c r="E70" s="34" t="s">
        <v>66</v>
      </c>
      <c r="F70" s="34" t="s">
        <v>67</v>
      </c>
      <c r="G70" s="34" t="s">
        <v>68</v>
      </c>
      <c r="H70" s="34" t="s">
        <v>69</v>
      </c>
      <c r="I70" s="34" t="s">
        <v>70</v>
      </c>
      <c r="J70" s="34" t="s">
        <v>71</v>
      </c>
      <c r="K70" s="34" t="s">
        <v>72</v>
      </c>
      <c r="L70" s="34" t="s">
        <v>73</v>
      </c>
      <c r="M70" s="34" t="s">
        <v>74</v>
      </c>
      <c r="N70" s="93" t="s">
        <v>241</v>
      </c>
      <c r="O70" s="93" t="s">
        <v>244</v>
      </c>
    </row>
    <row r="71" spans="1:15" x14ac:dyDescent="0.2">
      <c r="A71" s="33" t="s">
        <v>177</v>
      </c>
      <c r="B71" s="35">
        <v>361</v>
      </c>
      <c r="C71" s="35">
        <v>325</v>
      </c>
      <c r="D71" s="35">
        <v>345</v>
      </c>
      <c r="E71" s="35">
        <v>345</v>
      </c>
      <c r="F71" s="35">
        <v>379</v>
      </c>
      <c r="G71" s="35">
        <v>400</v>
      </c>
      <c r="H71" s="35">
        <v>312</v>
      </c>
      <c r="I71" s="35">
        <v>341</v>
      </c>
      <c r="J71" s="35">
        <v>356</v>
      </c>
      <c r="K71" s="35">
        <v>386</v>
      </c>
      <c r="L71" s="35"/>
      <c r="M71" s="35"/>
      <c r="N71" s="92">
        <f>SUM(EVO_224[[#This Row],[Jan]:[Dez]])</f>
        <v>3550</v>
      </c>
      <c r="O71" s="103">
        <f>EVO_224[[#This Row],[2019]]/EVO_224[[#Totals],[2019]]</f>
        <v>0.71949736522091612</v>
      </c>
    </row>
    <row r="72" spans="1:15" x14ac:dyDescent="0.2">
      <c r="A72" s="33" t="s">
        <v>178</v>
      </c>
      <c r="B72" s="35">
        <v>0</v>
      </c>
      <c r="C72" s="35">
        <v>0</v>
      </c>
      <c r="D72" s="35">
        <v>0</v>
      </c>
      <c r="E72" s="35">
        <v>1</v>
      </c>
      <c r="F72" s="35">
        <v>1</v>
      </c>
      <c r="G72" s="35">
        <v>0</v>
      </c>
      <c r="H72" s="35">
        <v>2</v>
      </c>
      <c r="I72" s="35">
        <v>7</v>
      </c>
      <c r="J72" s="35">
        <v>8</v>
      </c>
      <c r="K72" s="35">
        <v>6</v>
      </c>
      <c r="L72" s="35"/>
      <c r="M72" s="35"/>
      <c r="N72" s="92">
        <f>SUM(EVO_224[[#This Row],[Jan]:[Dez]])</f>
        <v>25</v>
      </c>
      <c r="O72" s="103">
        <f>EVO_224[[#This Row],[2019]]/EVO_224[[#Totals],[2019]]</f>
        <v>5.0668828536684233E-3</v>
      </c>
    </row>
    <row r="73" spans="1:15" x14ac:dyDescent="0.2">
      <c r="A73" s="33" t="s">
        <v>179</v>
      </c>
      <c r="B73" s="35">
        <v>115</v>
      </c>
      <c r="C73" s="35">
        <v>94</v>
      </c>
      <c r="D73" s="35">
        <v>149</v>
      </c>
      <c r="E73" s="35">
        <v>136</v>
      </c>
      <c r="F73" s="35">
        <v>122</v>
      </c>
      <c r="G73" s="35">
        <v>132</v>
      </c>
      <c r="H73" s="35">
        <v>134</v>
      </c>
      <c r="I73" s="35">
        <v>141</v>
      </c>
      <c r="J73" s="35">
        <v>132</v>
      </c>
      <c r="K73" s="35">
        <v>133</v>
      </c>
      <c r="L73" s="35"/>
      <c r="M73" s="35"/>
      <c r="N73" s="92">
        <f>SUM(EVO_224[[#This Row],[Jan]:[Dez]])</f>
        <v>1288</v>
      </c>
      <c r="O73" s="103">
        <f>EVO_224[[#This Row],[2019]]/EVO_224[[#Totals],[2019]]</f>
        <v>0.26104580462099714</v>
      </c>
    </row>
    <row r="74" spans="1:15" x14ac:dyDescent="0.2">
      <c r="A74" s="33" t="s">
        <v>180</v>
      </c>
      <c r="B74" s="35">
        <v>0</v>
      </c>
      <c r="C74" s="35">
        <v>3</v>
      </c>
      <c r="D74" s="35">
        <v>1</v>
      </c>
      <c r="E74" s="35">
        <v>2</v>
      </c>
      <c r="F74" s="35">
        <v>1</v>
      </c>
      <c r="G74" s="35">
        <v>1</v>
      </c>
      <c r="H74" s="35">
        <v>1</v>
      </c>
      <c r="I74" s="35">
        <v>4</v>
      </c>
      <c r="J74" s="35">
        <v>1</v>
      </c>
      <c r="K74" s="35">
        <v>5</v>
      </c>
      <c r="L74" s="35"/>
      <c r="M74" s="35"/>
      <c r="N74" s="92">
        <f>SUM(EVO_224[[#This Row],[Jan]:[Dez]])</f>
        <v>19</v>
      </c>
      <c r="O74" s="103">
        <f>EVO_224[[#This Row],[2019]]/EVO_224[[#Totals],[2019]]</f>
        <v>3.8508309687880016E-3</v>
      </c>
    </row>
    <row r="75" spans="1:15" x14ac:dyDescent="0.2">
      <c r="A75" s="33" t="s">
        <v>181</v>
      </c>
      <c r="B75" s="35">
        <v>1</v>
      </c>
      <c r="C75" s="35">
        <v>1</v>
      </c>
      <c r="D75" s="35">
        <v>1</v>
      </c>
      <c r="E75" s="35">
        <v>1</v>
      </c>
      <c r="F75" s="35">
        <v>4</v>
      </c>
      <c r="G75" s="35">
        <v>2</v>
      </c>
      <c r="H75" s="35">
        <v>1</v>
      </c>
      <c r="I75" s="35">
        <v>4</v>
      </c>
      <c r="J75" s="35">
        <v>6</v>
      </c>
      <c r="K75" s="35">
        <v>4</v>
      </c>
      <c r="L75" s="35"/>
      <c r="M75" s="35"/>
      <c r="N75" s="92">
        <f>SUM(EVO_224[[#This Row],[Jan]:[Dez]])</f>
        <v>25</v>
      </c>
      <c r="O75" s="103">
        <f>EVO_224[[#This Row],[2019]]/EVO_224[[#Totals],[2019]]</f>
        <v>5.0668828536684233E-3</v>
      </c>
    </row>
    <row r="76" spans="1:15" x14ac:dyDescent="0.2">
      <c r="A76" s="33" t="s">
        <v>133</v>
      </c>
      <c r="B76" s="35">
        <v>4</v>
      </c>
      <c r="C76" s="35">
        <v>2</v>
      </c>
      <c r="D76" s="35">
        <v>1</v>
      </c>
      <c r="E76" s="35">
        <v>0</v>
      </c>
      <c r="F76" s="35">
        <v>2</v>
      </c>
      <c r="G76" s="35">
        <v>0</v>
      </c>
      <c r="H76" s="35">
        <v>4</v>
      </c>
      <c r="I76" s="35">
        <v>1</v>
      </c>
      <c r="J76" s="35">
        <v>2</v>
      </c>
      <c r="K76" s="35">
        <v>2</v>
      </c>
      <c r="L76" s="35"/>
      <c r="M76" s="35"/>
      <c r="N76" s="92">
        <f>SUM(EVO_224[[#This Row],[Jan]:[Dez]])</f>
        <v>18</v>
      </c>
      <c r="O76" s="103">
        <f>EVO_224[[#This Row],[2019]]/EVO_224[[#Totals],[2019]]</f>
        <v>3.6481556546412645E-3</v>
      </c>
    </row>
    <row r="77" spans="1:15" x14ac:dyDescent="0.2">
      <c r="A77" s="33" t="s">
        <v>120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/>
      <c r="M77" s="35"/>
      <c r="N77" s="92">
        <f>SUM(EVO_224[[#This Row],[Jan]:[Dez]])</f>
        <v>0</v>
      </c>
      <c r="O77" s="103">
        <f>EVO_224[[#This Row],[2019]]/EVO_224[[#Totals],[2019]]</f>
        <v>0</v>
      </c>
    </row>
    <row r="78" spans="1:15" x14ac:dyDescent="0.2">
      <c r="A78" s="33" t="s">
        <v>85</v>
      </c>
      <c r="B78" s="35">
        <v>0</v>
      </c>
      <c r="C78" s="35">
        <v>5</v>
      </c>
      <c r="D78" s="35">
        <v>0</v>
      </c>
      <c r="E78" s="35">
        <v>0</v>
      </c>
      <c r="F78" s="35">
        <v>3</v>
      </c>
      <c r="G78" s="35">
        <v>0</v>
      </c>
      <c r="H78" s="35">
        <v>1</v>
      </c>
      <c r="I78" s="35">
        <v>0</v>
      </c>
      <c r="J78" s="35">
        <v>0</v>
      </c>
      <c r="K78" s="35">
        <v>0</v>
      </c>
      <c r="L78" s="35"/>
      <c r="M78" s="35"/>
      <c r="N78" s="92">
        <f>SUM(EVO_224[[#This Row],[Jan]:[Dez]])</f>
        <v>9</v>
      </c>
      <c r="O78" s="103">
        <f>EVO_224[[#This Row],[2019]]/EVO_224[[#Totals],[2019]]</f>
        <v>1.8240778273206323E-3</v>
      </c>
    </row>
    <row r="79" spans="1:15" x14ac:dyDescent="0.2">
      <c r="A79" s="95"/>
      <c r="B79" s="94">
        <f>SUBTOTAL(109,EVO_224[Jan])</f>
        <v>481</v>
      </c>
      <c r="C79" s="94">
        <f>SUBTOTAL(109,EVO_224[Fev])</f>
        <v>430</v>
      </c>
      <c r="D79" s="94">
        <f>SUBTOTAL(109,EVO_224[Mar])</f>
        <v>497</v>
      </c>
      <c r="E79" s="94">
        <f>SUBTOTAL(109,EVO_224[Abr])</f>
        <v>485</v>
      </c>
      <c r="F79" s="94">
        <f>SUBTOTAL(109,EVO_224[Mai])</f>
        <v>512</v>
      </c>
      <c r="G79" s="94">
        <f>SUBTOTAL(109,EVO_224[Jun])</f>
        <v>535</v>
      </c>
      <c r="H79" s="94">
        <f>SUBTOTAL(109,EVO_224[Jul])</f>
        <v>455</v>
      </c>
      <c r="I79" s="94">
        <f>SUBTOTAL(109,EVO_224[Ago])</f>
        <v>498</v>
      </c>
      <c r="J79" s="94">
        <f>SUBTOTAL(109,EVO_224[Set])</f>
        <v>505</v>
      </c>
      <c r="K79" s="94">
        <f>SUBTOTAL(109,EVO_224[Out])</f>
        <v>536</v>
      </c>
      <c r="L79" s="94">
        <f>SUBTOTAL(109,EVO_224[Nov])</f>
        <v>0</v>
      </c>
      <c r="M79" s="94">
        <f>SUBTOTAL(109,EVO_224[Dez])</f>
        <v>0</v>
      </c>
      <c r="N79" s="109">
        <f>SUBTOTAL(109,EVO_224[2019])</f>
        <v>4934</v>
      </c>
      <c r="O79" s="93"/>
    </row>
  </sheetData>
  <mergeCells count="9">
    <mergeCell ref="A54:O54"/>
    <mergeCell ref="A69:O69"/>
    <mergeCell ref="A4:O4"/>
    <mergeCell ref="A1:O1"/>
    <mergeCell ref="A10:O10"/>
    <mergeCell ref="A20:O20"/>
    <mergeCell ref="A27:O27"/>
    <mergeCell ref="A35:O35"/>
    <mergeCell ref="A46:O46"/>
  </mergeCells>
  <pageMargins left="0.511811024" right="0.511811024" top="0.78740157499999996" bottom="0.78740157499999996" header="0.31496062000000002" footer="0.31496062000000002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5" tint="-0.499984740745262"/>
  </sheetPr>
  <dimension ref="A1:N18"/>
  <sheetViews>
    <sheetView workbookViewId="0">
      <selection sqref="A1:N1"/>
    </sheetView>
  </sheetViews>
  <sheetFormatPr defaultRowHeight="11.25" x14ac:dyDescent="0.2"/>
  <cols>
    <col min="1" max="1" width="27.85546875" style="1" bestFit="1" customWidth="1"/>
    <col min="2" max="14" width="8.5703125" style="1" customWidth="1"/>
    <col min="15" max="16384" width="9.140625" style="1"/>
  </cols>
  <sheetData>
    <row r="1" spans="1:14" ht="18.75" x14ac:dyDescent="0.3">
      <c r="A1" s="154" t="s">
        <v>23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2" spans="1:14" ht="15" x14ac:dyDescent="0.25">
      <c r="A2" s="157" t="s">
        <v>24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</row>
    <row r="3" spans="1:14" x14ac:dyDescent="0.2">
      <c r="A3" s="1" t="s">
        <v>25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2" t="s">
        <v>241</v>
      </c>
    </row>
    <row r="4" spans="1:14" x14ac:dyDescent="0.2">
      <c r="A4" s="1" t="s">
        <v>205</v>
      </c>
      <c r="B4" s="9">
        <v>2615</v>
      </c>
      <c r="C4" s="9">
        <v>2595</v>
      </c>
      <c r="D4" s="9">
        <v>2609</v>
      </c>
      <c r="E4" s="9">
        <v>2958</v>
      </c>
      <c r="F4" s="9">
        <v>2910</v>
      </c>
      <c r="G4" s="9">
        <v>2385</v>
      </c>
      <c r="H4" s="9">
        <v>2939</v>
      </c>
      <c r="I4" s="9">
        <v>2763</v>
      </c>
      <c r="J4" s="9">
        <v>2976</v>
      </c>
      <c r="K4" s="9">
        <v>2609</v>
      </c>
      <c r="L4" s="9">
        <v>2464</v>
      </c>
      <c r="M4" s="9">
        <v>2116</v>
      </c>
      <c r="N4" s="4">
        <f>SUM(PC_5[[#This Row],[JAN]:[DEZ]])</f>
        <v>31939</v>
      </c>
    </row>
    <row r="5" spans="1:14" x14ac:dyDescent="0.2">
      <c r="A5" s="1" t="s">
        <v>26</v>
      </c>
      <c r="B5" s="9">
        <v>3363</v>
      </c>
      <c r="C5" s="9">
        <v>2999</v>
      </c>
      <c r="D5" s="9">
        <v>3527</v>
      </c>
      <c r="E5" s="9">
        <v>3460</v>
      </c>
      <c r="F5" s="9">
        <v>3562</v>
      </c>
      <c r="G5" s="9">
        <v>3299</v>
      </c>
      <c r="H5" s="9">
        <v>2755</v>
      </c>
      <c r="I5" s="9">
        <v>2999</v>
      </c>
      <c r="J5" s="9">
        <v>3277</v>
      </c>
      <c r="K5" s="9">
        <v>3369</v>
      </c>
      <c r="L5" s="9">
        <v>3386</v>
      </c>
      <c r="M5" s="9">
        <v>3559</v>
      </c>
      <c r="N5" s="4">
        <f>SUM(PC_5[[#This Row],[JAN]:[DEZ]])</f>
        <v>39555</v>
      </c>
    </row>
    <row r="6" spans="1:14" x14ac:dyDescent="0.2">
      <c r="A6" s="1" t="s">
        <v>27</v>
      </c>
      <c r="B6" s="9">
        <v>192</v>
      </c>
      <c r="C6" s="9">
        <v>244</v>
      </c>
      <c r="D6" s="9">
        <v>484</v>
      </c>
      <c r="E6" s="9">
        <v>702</v>
      </c>
      <c r="F6" s="9">
        <v>807</v>
      </c>
      <c r="G6" s="9">
        <v>595</v>
      </c>
      <c r="H6" s="9">
        <v>396</v>
      </c>
      <c r="I6" s="9">
        <v>375</v>
      </c>
      <c r="J6" s="9">
        <v>557</v>
      </c>
      <c r="K6" s="9">
        <v>542</v>
      </c>
      <c r="L6" s="9">
        <v>465</v>
      </c>
      <c r="M6" s="9">
        <v>252</v>
      </c>
      <c r="N6" s="4">
        <f>SUM(PC_5[[#This Row],[JAN]:[DEZ]])</f>
        <v>5611</v>
      </c>
    </row>
    <row r="7" spans="1:14" x14ac:dyDescent="0.2">
      <c r="A7" s="118" t="s">
        <v>400</v>
      </c>
      <c r="B7" s="119"/>
      <c r="C7" s="119">
        <v>194</v>
      </c>
      <c r="D7" s="119">
        <v>207</v>
      </c>
      <c r="E7" s="119">
        <v>150</v>
      </c>
      <c r="F7" s="119">
        <v>74</v>
      </c>
      <c r="G7" s="119">
        <v>16</v>
      </c>
      <c r="H7" s="119">
        <v>0</v>
      </c>
      <c r="I7" s="119">
        <v>215</v>
      </c>
      <c r="J7" s="119">
        <v>203</v>
      </c>
      <c r="K7" s="119">
        <v>130</v>
      </c>
      <c r="L7" s="119">
        <v>112</v>
      </c>
      <c r="M7" s="119">
        <v>62</v>
      </c>
      <c r="N7" s="4">
        <f>SUM(PC_5[[#This Row],[JAN]:[DEZ]])</f>
        <v>1363</v>
      </c>
    </row>
    <row r="8" spans="1:14" x14ac:dyDescent="0.2">
      <c r="B8" s="9">
        <f>SUBTOTAL(109,PC_5[JAN])</f>
        <v>6170</v>
      </c>
      <c r="C8" s="9">
        <f>SUBTOTAL(109,PC_5[FEV])</f>
        <v>6032</v>
      </c>
      <c r="D8" s="9">
        <f>SUBTOTAL(109,PC_5[MAR])</f>
        <v>6827</v>
      </c>
      <c r="E8" s="9">
        <f>SUBTOTAL(109,PC_5[ABR])</f>
        <v>7270</v>
      </c>
      <c r="F8" s="9">
        <f>SUBTOTAL(109,PC_5[MAI])</f>
        <v>7353</v>
      </c>
      <c r="G8" s="9">
        <f>SUBTOTAL(109,PC_5[JUN])</f>
        <v>6295</v>
      </c>
      <c r="H8" s="9">
        <f>SUBTOTAL(109,PC_5[JUL])</f>
        <v>6090</v>
      </c>
      <c r="I8" s="9">
        <f>SUBTOTAL(109,PC_5[AGO])</f>
        <v>6352</v>
      </c>
      <c r="J8" s="9">
        <f>SUBTOTAL(109,PC_5[SET])</f>
        <v>7013</v>
      </c>
      <c r="K8" s="9">
        <f>SUBTOTAL(109,PC_5[OUT])</f>
        <v>6650</v>
      </c>
      <c r="L8" s="9">
        <f>SUBTOTAL(109,PC_5[NOV])</f>
        <v>6427</v>
      </c>
      <c r="M8" s="9">
        <f>SUBTOTAL(109,PC_5[DEZ])</f>
        <v>5989</v>
      </c>
      <c r="N8" s="5">
        <f>SUBTOTAL(109,PC_5[2019])</f>
        <v>78468</v>
      </c>
    </row>
    <row r="9" spans="1:14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/>
    </row>
    <row r="10" spans="1:14" ht="18.75" x14ac:dyDescent="0.3">
      <c r="A10" s="154" t="s">
        <v>28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6"/>
    </row>
    <row r="11" spans="1:14" ht="15" x14ac:dyDescent="0.25">
      <c r="A11" s="157" t="s">
        <v>29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9"/>
    </row>
    <row r="12" spans="1:14" x14ac:dyDescent="0.2">
      <c r="A12" s="1" t="s">
        <v>30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1" t="s">
        <v>241</v>
      </c>
    </row>
    <row r="13" spans="1:14" x14ac:dyDescent="0.2">
      <c r="A13" s="1" t="s">
        <v>29</v>
      </c>
      <c r="B13" s="3">
        <v>785</v>
      </c>
      <c r="C13" s="3">
        <v>706</v>
      </c>
      <c r="D13" s="3">
        <v>830</v>
      </c>
      <c r="E13" s="3">
        <v>849</v>
      </c>
      <c r="F13" s="3">
        <v>849</v>
      </c>
      <c r="G13" s="3">
        <v>738</v>
      </c>
      <c r="H13" s="3">
        <v>827</v>
      </c>
      <c r="I13" s="3">
        <v>841</v>
      </c>
      <c r="J13" s="3">
        <v>831</v>
      </c>
      <c r="K13" s="3">
        <v>872</v>
      </c>
      <c r="L13" s="3">
        <v>778</v>
      </c>
      <c r="M13" s="3">
        <v>743</v>
      </c>
      <c r="N13" s="4">
        <f>SUM(AIH_6[[JAN]:[DEZ]])</f>
        <v>9649</v>
      </c>
    </row>
    <row r="15" spans="1:14" ht="18.75" x14ac:dyDescent="0.3">
      <c r="A15" s="154" t="s">
        <v>31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</row>
    <row r="16" spans="1:14" ht="15" x14ac:dyDescent="0.25">
      <c r="A16" s="157" t="s">
        <v>32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9"/>
    </row>
    <row r="17" spans="1:14" x14ac:dyDescent="0.2">
      <c r="A17" s="1" t="s">
        <v>33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12</v>
      </c>
      <c r="N17" s="1" t="s">
        <v>241</v>
      </c>
    </row>
    <row r="18" spans="1:14" x14ac:dyDescent="0.2">
      <c r="A18" s="1" t="s">
        <v>34</v>
      </c>
      <c r="B18" s="12">
        <f>SUM(B8,B13)</f>
        <v>6955</v>
      </c>
      <c r="C18" s="12">
        <f t="shared" ref="C18" si="0">SUM(C8,C13)</f>
        <v>6738</v>
      </c>
      <c r="D18" s="12">
        <f t="shared" ref="D18:M18" si="1">SUM(D13,D8)</f>
        <v>7657</v>
      </c>
      <c r="E18" s="12">
        <f t="shared" si="1"/>
        <v>8119</v>
      </c>
      <c r="F18" s="12">
        <f t="shared" si="1"/>
        <v>8202</v>
      </c>
      <c r="G18" s="12">
        <f t="shared" si="1"/>
        <v>7033</v>
      </c>
      <c r="H18" s="12">
        <f t="shared" si="1"/>
        <v>6917</v>
      </c>
      <c r="I18" s="12">
        <f t="shared" si="1"/>
        <v>7193</v>
      </c>
      <c r="J18" s="12">
        <f t="shared" si="1"/>
        <v>7844</v>
      </c>
      <c r="K18" s="12">
        <f t="shared" si="1"/>
        <v>7522</v>
      </c>
      <c r="L18" s="12">
        <f t="shared" si="1"/>
        <v>7205</v>
      </c>
      <c r="M18" s="12">
        <f t="shared" si="1"/>
        <v>6732</v>
      </c>
      <c r="N18" s="11">
        <f>SUM(AT_7[[JAN]:[DEZ]])</f>
        <v>88117</v>
      </c>
    </row>
  </sheetData>
  <sheetProtection autoFilter="0"/>
  <mergeCells count="6">
    <mergeCell ref="A15:N15"/>
    <mergeCell ref="A11:N11"/>
    <mergeCell ref="A16:N16"/>
    <mergeCell ref="A1:N1"/>
    <mergeCell ref="A2:N2"/>
    <mergeCell ref="A10:N10"/>
  </mergeCells>
  <pageMargins left="0.511811024" right="0.511811024" top="0.78740157499999996" bottom="0.78740157499999996" header="0.31496062000000002" footer="0.31496062000000002"/>
  <pageSetup paperSize="9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5" tint="-0.499984740745262"/>
  </sheetPr>
  <dimension ref="A1:N48"/>
  <sheetViews>
    <sheetView workbookViewId="0">
      <selection sqref="A1:N1"/>
    </sheetView>
  </sheetViews>
  <sheetFormatPr defaultRowHeight="11.25" x14ac:dyDescent="0.2"/>
  <cols>
    <col min="1" max="1" width="35.28515625" style="1" bestFit="1" customWidth="1"/>
    <col min="2" max="16384" width="9.140625" style="1"/>
  </cols>
  <sheetData>
    <row r="1" spans="1:14" ht="20.25" thickTop="1" thickBot="1" x14ac:dyDescent="0.25">
      <c r="A1" s="160" t="s">
        <v>386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12" thickTop="1" x14ac:dyDescent="0.2">
      <c r="A2" s="1" t="s">
        <v>136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2" t="s">
        <v>241</v>
      </c>
    </row>
    <row r="3" spans="1:14" x14ac:dyDescent="0.2">
      <c r="A3" s="1" t="s">
        <v>137</v>
      </c>
      <c r="B3" s="9">
        <v>36</v>
      </c>
      <c r="C3" s="9">
        <v>24</v>
      </c>
      <c r="D3" s="9">
        <v>36</v>
      </c>
      <c r="E3" s="9">
        <v>64</v>
      </c>
      <c r="F3" s="9">
        <v>38</v>
      </c>
      <c r="G3" s="9">
        <v>27</v>
      </c>
      <c r="H3" s="9">
        <v>37</v>
      </c>
      <c r="I3" s="9">
        <v>33</v>
      </c>
      <c r="J3" s="9">
        <v>63</v>
      </c>
      <c r="K3" s="9">
        <v>39</v>
      </c>
      <c r="L3" s="9">
        <v>58</v>
      </c>
      <c r="M3" s="9">
        <v>35</v>
      </c>
      <c r="N3" s="14">
        <f>SUM(PrimCons3[[#This Row],[JAN]:[DEZ]])</f>
        <v>490</v>
      </c>
    </row>
    <row r="4" spans="1:14" x14ac:dyDescent="0.2">
      <c r="A4" s="1" t="s">
        <v>138</v>
      </c>
      <c r="B4" s="9">
        <v>337</v>
      </c>
      <c r="C4" s="9">
        <v>500</v>
      </c>
      <c r="D4" s="9">
        <v>415</v>
      </c>
      <c r="E4" s="9">
        <v>529</v>
      </c>
      <c r="F4" s="9">
        <v>587</v>
      </c>
      <c r="G4" s="9">
        <v>474</v>
      </c>
      <c r="H4" s="9">
        <v>626</v>
      </c>
      <c r="I4" s="9">
        <v>451</v>
      </c>
      <c r="J4" s="9">
        <v>443</v>
      </c>
      <c r="K4" s="9">
        <v>448</v>
      </c>
      <c r="L4" s="9">
        <v>359</v>
      </c>
      <c r="M4" s="9">
        <v>284</v>
      </c>
      <c r="N4" s="14">
        <f>SUM(PrimCons3[[#This Row],[JAN]:[DEZ]])</f>
        <v>5453</v>
      </c>
    </row>
    <row r="5" spans="1:14" x14ac:dyDescent="0.2">
      <c r="A5" s="1" t="s">
        <v>139</v>
      </c>
      <c r="B5" s="9">
        <v>175</v>
      </c>
      <c r="C5" s="9">
        <v>106</v>
      </c>
      <c r="D5" s="9">
        <v>153</v>
      </c>
      <c r="E5" s="9">
        <v>102</v>
      </c>
      <c r="F5" s="9">
        <v>23</v>
      </c>
      <c r="G5" s="9">
        <v>0</v>
      </c>
      <c r="H5" s="9">
        <v>3</v>
      </c>
      <c r="I5" s="9">
        <v>26</v>
      </c>
      <c r="J5" s="9">
        <v>13</v>
      </c>
      <c r="K5" s="9">
        <v>26</v>
      </c>
      <c r="L5" s="9">
        <v>49</v>
      </c>
      <c r="M5" s="9">
        <v>28</v>
      </c>
      <c r="N5" s="14">
        <f>SUM(PrimCons3[[#This Row],[JAN]:[DEZ]])</f>
        <v>704</v>
      </c>
    </row>
    <row r="6" spans="1:14" x14ac:dyDescent="0.2">
      <c r="A6" s="1" t="s">
        <v>140</v>
      </c>
      <c r="B6" s="9">
        <v>37</v>
      </c>
      <c r="C6" s="9">
        <v>43</v>
      </c>
      <c r="D6" s="9">
        <v>48</v>
      </c>
      <c r="E6" s="9">
        <v>66</v>
      </c>
      <c r="F6" s="9">
        <v>55</v>
      </c>
      <c r="G6" s="9">
        <v>54</v>
      </c>
      <c r="H6" s="9">
        <v>63</v>
      </c>
      <c r="I6" s="9">
        <v>47</v>
      </c>
      <c r="J6" s="9">
        <v>58</v>
      </c>
      <c r="K6" s="9">
        <v>39</v>
      </c>
      <c r="L6" s="9">
        <v>57</v>
      </c>
      <c r="M6" s="9">
        <v>54</v>
      </c>
      <c r="N6" s="14">
        <f>SUM(PrimCons3[[#This Row],[JAN]:[DEZ]])</f>
        <v>621</v>
      </c>
    </row>
    <row r="7" spans="1:14" x14ac:dyDescent="0.2">
      <c r="A7" s="1" t="s">
        <v>141</v>
      </c>
      <c r="B7" s="9">
        <v>258</v>
      </c>
      <c r="C7" s="9">
        <v>354</v>
      </c>
      <c r="D7" s="9">
        <v>292</v>
      </c>
      <c r="E7" s="9">
        <v>403</v>
      </c>
      <c r="F7" s="9">
        <v>263</v>
      </c>
      <c r="G7" s="9">
        <v>216</v>
      </c>
      <c r="H7" s="9">
        <v>345</v>
      </c>
      <c r="I7" s="9">
        <v>296</v>
      </c>
      <c r="J7" s="9">
        <v>357</v>
      </c>
      <c r="K7" s="9">
        <v>302</v>
      </c>
      <c r="L7" s="9">
        <v>339</v>
      </c>
      <c r="M7" s="9">
        <v>266</v>
      </c>
      <c r="N7" s="14">
        <f>SUM(PrimCons3[[#This Row],[JAN]:[DEZ]])</f>
        <v>3691</v>
      </c>
    </row>
    <row r="8" spans="1:14" x14ac:dyDescent="0.2">
      <c r="A8" s="1" t="s">
        <v>142</v>
      </c>
      <c r="B8" s="9">
        <v>51</v>
      </c>
      <c r="C8" s="9">
        <v>49</v>
      </c>
      <c r="D8" s="9">
        <v>36</v>
      </c>
      <c r="E8" s="9">
        <v>35</v>
      </c>
      <c r="F8" s="9">
        <v>34</v>
      </c>
      <c r="G8" s="9">
        <v>38</v>
      </c>
      <c r="H8" s="9">
        <v>32</v>
      </c>
      <c r="I8" s="9">
        <v>49</v>
      </c>
      <c r="J8" s="9">
        <v>40</v>
      </c>
      <c r="K8" s="9">
        <v>53</v>
      </c>
      <c r="L8" s="9">
        <v>35</v>
      </c>
      <c r="M8" s="9">
        <v>33</v>
      </c>
      <c r="N8" s="14">
        <f>SUM(PrimCons3[[#This Row],[JAN]:[DEZ]])</f>
        <v>485</v>
      </c>
    </row>
    <row r="9" spans="1:14" x14ac:dyDescent="0.2">
      <c r="A9" s="1" t="s">
        <v>143</v>
      </c>
      <c r="B9" s="9">
        <v>175</v>
      </c>
      <c r="C9" s="9">
        <v>152</v>
      </c>
      <c r="D9" s="9">
        <v>213</v>
      </c>
      <c r="E9" s="9">
        <v>250</v>
      </c>
      <c r="F9" s="9">
        <v>201</v>
      </c>
      <c r="G9" s="9">
        <v>188</v>
      </c>
      <c r="H9" s="9">
        <v>258</v>
      </c>
      <c r="I9" s="9">
        <v>209</v>
      </c>
      <c r="J9" s="9">
        <v>141</v>
      </c>
      <c r="K9" s="9">
        <v>253</v>
      </c>
      <c r="L9" s="9">
        <v>188</v>
      </c>
      <c r="M9" s="9">
        <v>159</v>
      </c>
      <c r="N9" s="14">
        <f>SUM(PrimCons3[[#This Row],[JAN]:[DEZ]])</f>
        <v>2387</v>
      </c>
    </row>
    <row r="10" spans="1:14" x14ac:dyDescent="0.2">
      <c r="A10" s="1" t="s">
        <v>144</v>
      </c>
      <c r="B10" s="9">
        <v>74</v>
      </c>
      <c r="C10" s="9">
        <v>71</v>
      </c>
      <c r="D10" s="9">
        <v>84</v>
      </c>
      <c r="E10" s="9">
        <v>82</v>
      </c>
      <c r="F10" s="9">
        <v>61</v>
      </c>
      <c r="G10" s="9">
        <v>66</v>
      </c>
      <c r="H10" s="9">
        <v>66</v>
      </c>
      <c r="I10" s="9">
        <v>52</v>
      </c>
      <c r="J10" s="9">
        <v>45</v>
      </c>
      <c r="K10" s="9">
        <v>25</v>
      </c>
      <c r="L10" s="9">
        <v>33</v>
      </c>
      <c r="M10" s="9">
        <v>41</v>
      </c>
      <c r="N10" s="14">
        <f>SUM(PrimCons3[[#This Row],[JAN]:[DEZ]])</f>
        <v>700</v>
      </c>
    </row>
    <row r="11" spans="1:14" x14ac:dyDescent="0.2">
      <c r="A11" s="1" t="s">
        <v>145</v>
      </c>
      <c r="B11" s="9">
        <v>141</v>
      </c>
      <c r="C11" s="9">
        <v>122</v>
      </c>
      <c r="D11" s="9">
        <v>136</v>
      </c>
      <c r="E11" s="9">
        <v>155</v>
      </c>
      <c r="F11" s="9">
        <v>113</v>
      </c>
      <c r="G11" s="9">
        <v>138</v>
      </c>
      <c r="H11" s="9">
        <v>118</v>
      </c>
      <c r="I11" s="9">
        <v>186</v>
      </c>
      <c r="J11" s="9">
        <v>163</v>
      </c>
      <c r="K11" s="9">
        <v>154</v>
      </c>
      <c r="L11" s="9">
        <v>135</v>
      </c>
      <c r="M11" s="9">
        <v>105</v>
      </c>
      <c r="N11" s="14">
        <f>SUM(PrimCons3[[#This Row],[JAN]:[DEZ]])</f>
        <v>1666</v>
      </c>
    </row>
    <row r="12" spans="1:14" x14ac:dyDescent="0.2">
      <c r="A12" s="1" t="s">
        <v>146</v>
      </c>
      <c r="B12" s="9">
        <v>101</v>
      </c>
      <c r="C12" s="9">
        <v>120</v>
      </c>
      <c r="D12" s="9">
        <v>121</v>
      </c>
      <c r="E12" s="9">
        <v>129</v>
      </c>
      <c r="F12" s="9">
        <v>123</v>
      </c>
      <c r="G12" s="9">
        <v>58</v>
      </c>
      <c r="H12" s="9">
        <v>121</v>
      </c>
      <c r="I12" s="9">
        <v>125</v>
      </c>
      <c r="J12" s="9">
        <v>108</v>
      </c>
      <c r="K12" s="9">
        <v>102</v>
      </c>
      <c r="L12" s="9">
        <v>102</v>
      </c>
      <c r="M12" s="9">
        <v>51</v>
      </c>
      <c r="N12" s="14">
        <f>SUM(PrimCons3[[#This Row],[JAN]:[DEZ]])</f>
        <v>1261</v>
      </c>
    </row>
    <row r="13" spans="1:14" x14ac:dyDescent="0.2">
      <c r="A13" s="1" t="s">
        <v>209</v>
      </c>
      <c r="B13" s="9">
        <v>174</v>
      </c>
      <c r="C13" s="9">
        <v>178</v>
      </c>
      <c r="D13" s="9">
        <v>147</v>
      </c>
      <c r="E13" s="9">
        <v>162</v>
      </c>
      <c r="F13" s="9">
        <v>152</v>
      </c>
      <c r="G13" s="9">
        <v>128</v>
      </c>
      <c r="H13" s="9">
        <v>149</v>
      </c>
      <c r="I13" s="9">
        <v>179</v>
      </c>
      <c r="J13" s="9">
        <v>165</v>
      </c>
      <c r="K13" s="9">
        <v>131</v>
      </c>
      <c r="L13" s="9">
        <v>118</v>
      </c>
      <c r="M13" s="9">
        <v>127</v>
      </c>
      <c r="N13" s="14">
        <f>SUM(PrimCons3[[#This Row],[JAN]:[DEZ]])</f>
        <v>1810</v>
      </c>
    </row>
    <row r="14" spans="1:14" x14ac:dyDescent="0.2">
      <c r="A14" s="46" t="s">
        <v>147</v>
      </c>
      <c r="B14" s="47">
        <v>6</v>
      </c>
      <c r="C14" s="47">
        <v>29</v>
      </c>
      <c r="D14" s="47">
        <v>34</v>
      </c>
      <c r="E14" s="47">
        <v>18</v>
      </c>
      <c r="F14" s="47">
        <v>32</v>
      </c>
      <c r="G14" s="47">
        <v>29</v>
      </c>
      <c r="H14" s="47">
        <v>29</v>
      </c>
      <c r="I14" s="47">
        <v>27</v>
      </c>
      <c r="J14" s="47">
        <v>25</v>
      </c>
      <c r="K14" s="47">
        <v>24</v>
      </c>
      <c r="L14" s="47">
        <v>28</v>
      </c>
      <c r="M14" s="47">
        <v>24</v>
      </c>
      <c r="N14" s="48">
        <f>SUM(PrimCons3[[#This Row],[JAN]:[DEZ]])</f>
        <v>305</v>
      </c>
    </row>
    <row r="15" spans="1:14" x14ac:dyDescent="0.2">
      <c r="A15" s="46" t="s">
        <v>169</v>
      </c>
      <c r="B15" s="47">
        <v>7</v>
      </c>
      <c r="C15" s="47">
        <v>6</v>
      </c>
      <c r="D15" s="47">
        <v>0</v>
      </c>
      <c r="E15" s="47">
        <v>0</v>
      </c>
      <c r="F15" s="47">
        <v>20</v>
      </c>
      <c r="G15" s="47">
        <v>17</v>
      </c>
      <c r="H15" s="47">
        <v>8</v>
      </c>
      <c r="I15" s="47">
        <v>0</v>
      </c>
      <c r="J15" s="47">
        <v>5</v>
      </c>
      <c r="K15" s="47">
        <v>22</v>
      </c>
      <c r="L15" s="47">
        <v>10</v>
      </c>
      <c r="M15" s="47">
        <v>12</v>
      </c>
      <c r="N15" s="48">
        <f>SUM(PrimCons3[[#This Row],[JAN]:[DEZ]])</f>
        <v>107</v>
      </c>
    </row>
    <row r="16" spans="1:14" x14ac:dyDescent="0.2">
      <c r="A16" s="46" t="s">
        <v>148</v>
      </c>
      <c r="B16" s="47">
        <v>65</v>
      </c>
      <c r="C16" s="47">
        <v>60</v>
      </c>
      <c r="D16" s="47">
        <v>78</v>
      </c>
      <c r="E16" s="47">
        <v>57</v>
      </c>
      <c r="F16" s="47">
        <v>117</v>
      </c>
      <c r="G16" s="47">
        <v>55</v>
      </c>
      <c r="H16" s="47">
        <v>56</v>
      </c>
      <c r="I16" s="47">
        <v>74</v>
      </c>
      <c r="J16" s="47">
        <v>65</v>
      </c>
      <c r="K16" s="47">
        <v>89</v>
      </c>
      <c r="L16" s="47">
        <v>62</v>
      </c>
      <c r="M16" s="47">
        <v>43</v>
      </c>
      <c r="N16" s="48">
        <f>SUM(PrimCons3[[#This Row],[JAN]:[DEZ]])</f>
        <v>821</v>
      </c>
    </row>
    <row r="17" spans="1:14" x14ac:dyDescent="0.2">
      <c r="A17" s="60" t="s">
        <v>399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18</v>
      </c>
      <c r="M17" s="61">
        <v>16</v>
      </c>
      <c r="N17" s="62">
        <f>SUM(PrimCons3[[#This Row],[JAN]:[DEZ]])</f>
        <v>34</v>
      </c>
    </row>
    <row r="18" spans="1:14" x14ac:dyDescent="0.2">
      <c r="A18" s="1" t="s">
        <v>149</v>
      </c>
      <c r="B18" s="9">
        <v>20</v>
      </c>
      <c r="C18" s="9">
        <v>11</v>
      </c>
      <c r="D18" s="9">
        <v>13</v>
      </c>
      <c r="E18" s="9">
        <v>8</v>
      </c>
      <c r="F18" s="9">
        <v>20</v>
      </c>
      <c r="G18" s="9">
        <v>17</v>
      </c>
      <c r="H18" s="9">
        <v>27</v>
      </c>
      <c r="I18" s="9">
        <v>26</v>
      </c>
      <c r="J18" s="9">
        <v>21</v>
      </c>
      <c r="K18" s="9">
        <v>42</v>
      </c>
      <c r="L18" s="9">
        <v>14</v>
      </c>
      <c r="M18" s="9">
        <v>18</v>
      </c>
      <c r="N18" s="14">
        <f>SUM(PrimCons3[[#This Row],[JAN]:[DEZ]])</f>
        <v>237</v>
      </c>
    </row>
    <row r="19" spans="1:14" x14ac:dyDescent="0.2">
      <c r="A19" s="1" t="s">
        <v>170</v>
      </c>
      <c r="B19" s="9">
        <v>0</v>
      </c>
      <c r="C19" s="9">
        <v>0</v>
      </c>
      <c r="D19" s="9">
        <v>1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66</v>
      </c>
      <c r="K19" s="9">
        <v>33</v>
      </c>
      <c r="L19" s="9">
        <v>21</v>
      </c>
      <c r="M19" s="9">
        <v>0</v>
      </c>
      <c r="N19" s="14">
        <f>SUM(PrimCons3[[#This Row],[JAN]:[DEZ]])</f>
        <v>121</v>
      </c>
    </row>
    <row r="20" spans="1:14" x14ac:dyDescent="0.2">
      <c r="A20" s="1" t="s">
        <v>150</v>
      </c>
      <c r="B20" s="9">
        <v>68</v>
      </c>
      <c r="C20" s="9">
        <v>58</v>
      </c>
      <c r="D20" s="9">
        <v>61</v>
      </c>
      <c r="E20" s="9">
        <v>26</v>
      </c>
      <c r="F20" s="9">
        <v>90</v>
      </c>
      <c r="G20" s="9">
        <v>52</v>
      </c>
      <c r="H20" s="9">
        <v>66</v>
      </c>
      <c r="I20" s="9">
        <v>53</v>
      </c>
      <c r="J20" s="9">
        <v>78</v>
      </c>
      <c r="K20" s="9">
        <v>64</v>
      </c>
      <c r="L20" s="9">
        <v>75</v>
      </c>
      <c r="M20" s="9">
        <v>67</v>
      </c>
      <c r="N20" s="14">
        <f>SUM(PrimCons3[[#This Row],[JAN]:[DEZ]])</f>
        <v>758</v>
      </c>
    </row>
    <row r="21" spans="1:14" x14ac:dyDescent="0.2">
      <c r="A21" s="1" t="s">
        <v>151</v>
      </c>
      <c r="B21" s="9">
        <v>162</v>
      </c>
      <c r="C21" s="9">
        <v>141</v>
      </c>
      <c r="D21" s="9">
        <v>148</v>
      </c>
      <c r="E21" s="9">
        <v>144</v>
      </c>
      <c r="F21" s="9">
        <v>175</v>
      </c>
      <c r="G21" s="9">
        <v>135</v>
      </c>
      <c r="H21" s="9">
        <v>146</v>
      </c>
      <c r="I21" s="9">
        <v>111</v>
      </c>
      <c r="J21" s="9">
        <v>130</v>
      </c>
      <c r="K21" s="9">
        <v>83</v>
      </c>
      <c r="L21" s="9">
        <v>74</v>
      </c>
      <c r="M21" s="9">
        <v>12</v>
      </c>
      <c r="N21" s="14">
        <f>SUM(PrimCons3[[#This Row],[JAN]:[DEZ]])</f>
        <v>1461</v>
      </c>
    </row>
    <row r="22" spans="1:14" x14ac:dyDescent="0.2">
      <c r="A22" s="1" t="s">
        <v>152</v>
      </c>
      <c r="B22" s="9">
        <v>76</v>
      </c>
      <c r="C22" s="9">
        <v>127</v>
      </c>
      <c r="D22" s="9">
        <v>123</v>
      </c>
      <c r="E22" s="9">
        <v>109</v>
      </c>
      <c r="F22" s="9">
        <v>127</v>
      </c>
      <c r="G22" s="9">
        <v>92</v>
      </c>
      <c r="H22" s="9">
        <v>52</v>
      </c>
      <c r="I22" s="9">
        <v>105</v>
      </c>
      <c r="J22" s="9">
        <v>106</v>
      </c>
      <c r="K22" s="9">
        <v>124</v>
      </c>
      <c r="L22" s="9">
        <v>93</v>
      </c>
      <c r="M22" s="9">
        <v>97</v>
      </c>
      <c r="N22" s="14">
        <f>SUM(PrimCons3[[#This Row],[JAN]:[DEZ]])</f>
        <v>1231</v>
      </c>
    </row>
    <row r="23" spans="1:14" x14ac:dyDescent="0.2">
      <c r="A23" s="1" t="s">
        <v>154</v>
      </c>
      <c r="B23" s="9">
        <v>479</v>
      </c>
      <c r="C23" s="9">
        <v>219</v>
      </c>
      <c r="D23" s="9">
        <v>318</v>
      </c>
      <c r="E23" s="9">
        <v>420</v>
      </c>
      <c r="F23" s="9">
        <v>446</v>
      </c>
      <c r="G23" s="9">
        <v>436</v>
      </c>
      <c r="H23" s="9">
        <v>547</v>
      </c>
      <c r="I23" s="9">
        <v>580</v>
      </c>
      <c r="J23" s="9">
        <v>689</v>
      </c>
      <c r="K23" s="9">
        <v>356</v>
      </c>
      <c r="L23" s="9">
        <v>403</v>
      </c>
      <c r="M23" s="9">
        <v>474</v>
      </c>
      <c r="N23" s="14">
        <f>SUM(PrimCons3[[#This Row],[JAN]:[DEZ]])</f>
        <v>5367</v>
      </c>
    </row>
    <row r="24" spans="1:14" x14ac:dyDescent="0.2">
      <c r="A24" s="1" t="s">
        <v>155</v>
      </c>
      <c r="B24" s="9">
        <v>56</v>
      </c>
      <c r="C24" s="9">
        <v>72</v>
      </c>
      <c r="D24" s="9">
        <v>47</v>
      </c>
      <c r="E24" s="9">
        <v>76</v>
      </c>
      <c r="F24" s="9">
        <v>75</v>
      </c>
      <c r="G24" s="9">
        <v>82</v>
      </c>
      <c r="H24" s="9">
        <v>58</v>
      </c>
      <c r="I24" s="9">
        <v>56</v>
      </c>
      <c r="J24" s="9">
        <v>95</v>
      </c>
      <c r="K24" s="9">
        <v>73</v>
      </c>
      <c r="L24" s="9">
        <v>64</v>
      </c>
      <c r="M24" s="9">
        <v>60</v>
      </c>
      <c r="N24" s="14">
        <f>SUM(PrimCons3[[#This Row],[JAN]:[DEZ]])</f>
        <v>814</v>
      </c>
    </row>
    <row r="25" spans="1:14" x14ac:dyDescent="0.2">
      <c r="A25" s="1" t="s">
        <v>171</v>
      </c>
      <c r="B25" s="9">
        <v>35</v>
      </c>
      <c r="C25" s="9">
        <v>35</v>
      </c>
      <c r="D25" s="9">
        <v>19</v>
      </c>
      <c r="E25" s="9">
        <v>22</v>
      </c>
      <c r="F25" s="9">
        <v>31</v>
      </c>
      <c r="G25" s="9">
        <v>31</v>
      </c>
      <c r="H25" s="9">
        <v>51</v>
      </c>
      <c r="I25" s="9">
        <v>33</v>
      </c>
      <c r="J25" s="9">
        <v>32</v>
      </c>
      <c r="K25" s="9">
        <v>42</v>
      </c>
      <c r="L25" s="9">
        <v>45</v>
      </c>
      <c r="M25" s="9">
        <v>43</v>
      </c>
      <c r="N25" s="14">
        <f>SUM(PrimCons3[[#This Row],[JAN]:[DEZ]])</f>
        <v>419</v>
      </c>
    </row>
    <row r="26" spans="1:14" x14ac:dyDescent="0.2">
      <c r="A26" s="1" t="s">
        <v>240</v>
      </c>
      <c r="B26" s="9">
        <v>23</v>
      </c>
      <c r="C26" s="9">
        <v>19</v>
      </c>
      <c r="D26" s="9">
        <v>0</v>
      </c>
      <c r="E26" s="9">
        <v>0</v>
      </c>
      <c r="F26" s="9">
        <v>31</v>
      </c>
      <c r="G26" s="9">
        <v>27</v>
      </c>
      <c r="H26" s="9">
        <v>23</v>
      </c>
      <c r="I26" s="9">
        <v>0</v>
      </c>
      <c r="J26" s="9">
        <v>0</v>
      </c>
      <c r="K26" s="9">
        <v>17</v>
      </c>
      <c r="L26" s="9">
        <v>21</v>
      </c>
      <c r="M26" s="9">
        <v>13</v>
      </c>
      <c r="N26" s="14">
        <f>SUM(PrimCons3[[#This Row],[JAN]:[DEZ]])</f>
        <v>174</v>
      </c>
    </row>
    <row r="27" spans="1:14" x14ac:dyDescent="0.2">
      <c r="A27" s="86" t="s">
        <v>172</v>
      </c>
      <c r="B27" s="87">
        <v>8</v>
      </c>
      <c r="C27" s="87">
        <v>45</v>
      </c>
      <c r="D27" s="87">
        <v>44</v>
      </c>
      <c r="E27" s="87">
        <v>49</v>
      </c>
      <c r="F27" s="87">
        <v>56</v>
      </c>
      <c r="G27" s="87">
        <v>2</v>
      </c>
      <c r="H27" s="87">
        <v>0</v>
      </c>
      <c r="I27" s="87">
        <v>0</v>
      </c>
      <c r="J27" s="87">
        <v>28</v>
      </c>
      <c r="K27" s="87">
        <v>14</v>
      </c>
      <c r="L27" s="87">
        <v>17</v>
      </c>
      <c r="M27" s="87">
        <v>15</v>
      </c>
      <c r="N27" s="88">
        <f>SUM(PrimCons3[[#This Row],[JAN]:[DEZ]])</f>
        <v>278</v>
      </c>
    </row>
    <row r="28" spans="1:14" x14ac:dyDescent="0.2">
      <c r="A28" s="1" t="s">
        <v>156</v>
      </c>
      <c r="B28" s="57">
        <v>47</v>
      </c>
      <c r="C28" s="57">
        <v>37</v>
      </c>
      <c r="D28" s="57">
        <v>33</v>
      </c>
      <c r="E28" s="57">
        <v>47</v>
      </c>
      <c r="F28" s="57">
        <v>31</v>
      </c>
      <c r="G28" s="57">
        <v>19</v>
      </c>
      <c r="H28" s="57">
        <v>54</v>
      </c>
      <c r="I28" s="57">
        <v>41</v>
      </c>
      <c r="J28" s="57">
        <v>35</v>
      </c>
      <c r="K28" s="57">
        <v>47</v>
      </c>
      <c r="L28" s="57">
        <v>42</v>
      </c>
      <c r="M28" s="57">
        <v>35</v>
      </c>
      <c r="N28" s="58">
        <f>SUM(PrimCons3[[#This Row],[JAN]:[DEZ]])</f>
        <v>468</v>
      </c>
    </row>
    <row r="29" spans="1:14" x14ac:dyDescent="0.2">
      <c r="A29" s="1" t="s">
        <v>153</v>
      </c>
      <c r="B29" s="9">
        <v>4</v>
      </c>
      <c r="C29" s="9">
        <v>17</v>
      </c>
      <c r="D29" s="9">
        <v>9</v>
      </c>
      <c r="E29" s="9">
        <v>5</v>
      </c>
      <c r="F29" s="9">
        <v>9</v>
      </c>
      <c r="G29" s="9">
        <v>4</v>
      </c>
      <c r="H29" s="9">
        <v>4</v>
      </c>
      <c r="I29" s="9">
        <v>4</v>
      </c>
      <c r="J29" s="9">
        <v>5</v>
      </c>
      <c r="K29" s="9">
        <v>7</v>
      </c>
      <c r="L29" s="9">
        <v>4</v>
      </c>
      <c r="M29" s="9">
        <v>4</v>
      </c>
      <c r="N29" s="14">
        <f>SUM(PrimCons3[[#This Row],[JAN]:[DEZ]])</f>
        <v>76</v>
      </c>
    </row>
    <row r="30" spans="1:14" x14ac:dyDescent="0.2">
      <c r="A30" s="118"/>
      <c r="B30" s="119">
        <f>SUBTOTAL(109,PrimCons3[JAN])</f>
        <v>2615</v>
      </c>
      <c r="C30" s="119">
        <f>SUBTOTAL(109,PrimCons3[FEV])</f>
        <v>2595</v>
      </c>
      <c r="D30" s="119">
        <f>SUBTOTAL(109,PrimCons3[MAR])</f>
        <v>2609</v>
      </c>
      <c r="E30" s="119">
        <f>SUBTOTAL(109,PrimCons3[ABR])</f>
        <v>2958</v>
      </c>
      <c r="F30" s="119">
        <f>SUBTOTAL(109,PrimCons3[MAI])</f>
        <v>2910</v>
      </c>
      <c r="G30" s="119">
        <f>SUBTOTAL(109,PrimCons3[JUN])</f>
        <v>2385</v>
      </c>
      <c r="H30" s="119">
        <f>SUBTOTAL(109,PrimCons3[JUL])</f>
        <v>2939</v>
      </c>
      <c r="I30" s="119">
        <f>SUBTOTAL(109,PrimCons3[AGO])</f>
        <v>2763</v>
      </c>
      <c r="J30" s="119">
        <f>SUBTOTAL(109,PrimCons3[SET])</f>
        <v>2976</v>
      </c>
      <c r="K30" s="119">
        <f>SUBTOTAL(109,PrimCons3[OUT])</f>
        <v>2609</v>
      </c>
      <c r="L30" s="119">
        <f>SUBTOTAL(109,PrimCons3[NOV])</f>
        <v>2464</v>
      </c>
      <c r="M30" s="119">
        <f>SUBTOTAL(109,PrimCons3[DEZ])</f>
        <v>2116</v>
      </c>
      <c r="N30" s="119">
        <f>SUBTOTAL(109,PrimCons3[2019])</f>
        <v>31939</v>
      </c>
    </row>
    <row r="31" spans="1:14" ht="12" thickBot="1" x14ac:dyDescent="0.25"/>
    <row r="32" spans="1:14" ht="20.25" thickTop="1" thickBot="1" x14ac:dyDescent="0.25">
      <c r="A32" s="160" t="s">
        <v>387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</row>
    <row r="33" spans="1:14" ht="12" thickTop="1" x14ac:dyDescent="0.2">
      <c r="A33" s="1" t="s">
        <v>136</v>
      </c>
      <c r="B33" s="1" t="s">
        <v>1</v>
      </c>
      <c r="C33" s="1" t="s">
        <v>2</v>
      </c>
      <c r="D33" s="1" t="s">
        <v>3</v>
      </c>
      <c r="E33" s="1" t="s">
        <v>4</v>
      </c>
      <c r="F33" s="1" t="s">
        <v>5</v>
      </c>
      <c r="G33" s="1" t="s">
        <v>6</v>
      </c>
      <c r="H33" s="1" t="s">
        <v>7</v>
      </c>
      <c r="I33" s="1" t="s">
        <v>8</v>
      </c>
      <c r="J33" s="1" t="s">
        <v>9</v>
      </c>
      <c r="K33" s="1" t="s">
        <v>10</v>
      </c>
      <c r="L33" s="1" t="s">
        <v>11</v>
      </c>
      <c r="M33" s="1" t="s">
        <v>12</v>
      </c>
      <c r="N33" s="2" t="s">
        <v>241</v>
      </c>
    </row>
    <row r="34" spans="1:14" x14ac:dyDescent="0.2">
      <c r="A34" s="1" t="s">
        <v>157</v>
      </c>
      <c r="B34" s="9">
        <v>1036</v>
      </c>
      <c r="C34" s="9">
        <v>1005</v>
      </c>
      <c r="D34" s="9">
        <v>1131</v>
      </c>
      <c r="E34" s="9">
        <v>1147</v>
      </c>
      <c r="F34" s="9">
        <v>1113</v>
      </c>
      <c r="G34" s="9">
        <v>1157</v>
      </c>
      <c r="H34" s="9">
        <v>838</v>
      </c>
      <c r="I34" s="9">
        <v>898</v>
      </c>
      <c r="J34" s="9">
        <v>1085</v>
      </c>
      <c r="K34" s="9">
        <v>1201</v>
      </c>
      <c r="L34" s="9">
        <v>1184</v>
      </c>
      <c r="M34" s="9">
        <v>1390</v>
      </c>
      <c r="N34" s="14">
        <f>SUM(PrimCons332[[#This Row],[JAN]:[DEZ]])</f>
        <v>13185</v>
      </c>
    </row>
    <row r="35" spans="1:14" x14ac:dyDescent="0.2">
      <c r="A35" s="1" t="s">
        <v>158</v>
      </c>
      <c r="B35" s="9">
        <v>820</v>
      </c>
      <c r="C35" s="9">
        <v>667</v>
      </c>
      <c r="D35" s="9">
        <v>811</v>
      </c>
      <c r="E35" s="9">
        <v>738</v>
      </c>
      <c r="F35" s="9">
        <v>729</v>
      </c>
      <c r="G35" s="9">
        <v>613</v>
      </c>
      <c r="H35" s="9">
        <v>621</v>
      </c>
      <c r="I35" s="9">
        <v>574</v>
      </c>
      <c r="J35" s="9">
        <v>642</v>
      </c>
      <c r="K35" s="9">
        <v>620</v>
      </c>
      <c r="L35" s="9">
        <v>517</v>
      </c>
      <c r="M35" s="9">
        <v>524</v>
      </c>
      <c r="N35" s="14">
        <f>SUM(PrimCons332[[#This Row],[JAN]:[DEZ]])</f>
        <v>7876</v>
      </c>
    </row>
    <row r="36" spans="1:14" x14ac:dyDescent="0.2">
      <c r="A36" s="1" t="s">
        <v>159</v>
      </c>
      <c r="B36" s="9">
        <v>1507</v>
      </c>
      <c r="C36" s="9">
        <v>1327</v>
      </c>
      <c r="D36" s="9">
        <v>1585</v>
      </c>
      <c r="E36" s="9">
        <v>1575</v>
      </c>
      <c r="F36" s="9">
        <v>1720</v>
      </c>
      <c r="G36" s="9">
        <v>1529</v>
      </c>
      <c r="H36" s="9">
        <v>1296</v>
      </c>
      <c r="I36" s="9">
        <v>1527</v>
      </c>
      <c r="J36" s="9">
        <v>1550</v>
      </c>
      <c r="K36" s="9">
        <v>1548</v>
      </c>
      <c r="L36" s="9">
        <v>1685</v>
      </c>
      <c r="M36" s="9">
        <v>1645</v>
      </c>
      <c r="N36" s="14">
        <f>SUM(PrimCons332[[#This Row],[JAN]:[DEZ]])</f>
        <v>18494</v>
      </c>
    </row>
    <row r="37" spans="1:14" x14ac:dyDescent="0.2">
      <c r="A37" s="118"/>
      <c r="B37" s="119">
        <f>SUBTOTAL(109,PrimCons332[JAN])</f>
        <v>3363</v>
      </c>
      <c r="C37" s="119">
        <f>SUBTOTAL(109,PrimCons332[FEV])</f>
        <v>2999</v>
      </c>
      <c r="D37" s="119">
        <f>SUBTOTAL(109,PrimCons332[MAR])</f>
        <v>3527</v>
      </c>
      <c r="E37" s="119">
        <f>SUBTOTAL(109,PrimCons332[ABR])</f>
        <v>3460</v>
      </c>
      <c r="F37" s="119">
        <f>SUBTOTAL(109,PrimCons332[MAI])</f>
        <v>3562</v>
      </c>
      <c r="G37" s="119">
        <f>SUBTOTAL(109,PrimCons332[JUN])</f>
        <v>3299</v>
      </c>
      <c r="H37" s="119">
        <f>SUBTOTAL(109,PrimCons332[JUL])</f>
        <v>2755</v>
      </c>
      <c r="I37" s="119">
        <f>SUBTOTAL(109,PrimCons332[AGO])</f>
        <v>2999</v>
      </c>
      <c r="J37" s="119">
        <f>SUBTOTAL(109,PrimCons332[SET])</f>
        <v>3277</v>
      </c>
      <c r="K37" s="119">
        <f>SUBTOTAL(109,PrimCons332[OUT])</f>
        <v>3369</v>
      </c>
      <c r="L37" s="119">
        <f>SUBTOTAL(109,PrimCons332[NOV])</f>
        <v>3386</v>
      </c>
      <c r="M37" s="119">
        <f>SUBTOTAL(109,PrimCons332[DEZ])</f>
        <v>3559</v>
      </c>
      <c r="N37" s="119">
        <f>SUBTOTAL(109,PrimCons332[2019])</f>
        <v>39555</v>
      </c>
    </row>
    <row r="38" spans="1:14" ht="12" thickBot="1" x14ac:dyDescent="0.25"/>
    <row r="39" spans="1:14" ht="20.25" thickTop="1" thickBot="1" x14ac:dyDescent="0.25">
      <c r="A39" s="160" t="s">
        <v>388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</row>
    <row r="40" spans="1:14" ht="12" thickTop="1" x14ac:dyDescent="0.2">
      <c r="A40" s="1" t="s">
        <v>136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11</v>
      </c>
      <c r="M40" s="1" t="s">
        <v>12</v>
      </c>
      <c r="N40" s="2" t="s">
        <v>241</v>
      </c>
    </row>
    <row r="41" spans="1:14" x14ac:dyDescent="0.2">
      <c r="A41" s="1" t="s">
        <v>160</v>
      </c>
      <c r="B41" s="9">
        <v>178</v>
      </c>
      <c r="C41" s="9">
        <v>244</v>
      </c>
      <c r="D41" s="9">
        <v>310</v>
      </c>
      <c r="E41" s="9">
        <v>311</v>
      </c>
      <c r="F41" s="9">
        <v>335</v>
      </c>
      <c r="G41" s="9">
        <v>221</v>
      </c>
      <c r="H41" s="9">
        <v>330</v>
      </c>
      <c r="I41" s="9">
        <v>295</v>
      </c>
      <c r="J41" s="9">
        <v>262</v>
      </c>
      <c r="K41" s="9">
        <v>294</v>
      </c>
      <c r="L41" s="9">
        <v>222</v>
      </c>
      <c r="M41" s="9">
        <v>133</v>
      </c>
      <c r="N41" s="14">
        <f>SUM(PrimCons333[[#This Row],[JAN]:[DEZ]])</f>
        <v>3135</v>
      </c>
    </row>
    <row r="42" spans="1:14" x14ac:dyDescent="0.2">
      <c r="A42" s="1" t="s">
        <v>161</v>
      </c>
      <c r="B42" s="9">
        <v>14</v>
      </c>
      <c r="C42" s="9">
        <v>0</v>
      </c>
      <c r="D42" s="9">
        <v>174</v>
      </c>
      <c r="E42" s="9">
        <v>391</v>
      </c>
      <c r="F42" s="9">
        <v>472</v>
      </c>
      <c r="G42" s="9">
        <v>374</v>
      </c>
      <c r="H42" s="9">
        <v>66</v>
      </c>
      <c r="I42" s="9">
        <v>80</v>
      </c>
      <c r="J42" s="9">
        <v>295</v>
      </c>
      <c r="K42" s="9">
        <v>248</v>
      </c>
      <c r="L42" s="9">
        <v>243</v>
      </c>
      <c r="M42" s="9">
        <v>119</v>
      </c>
      <c r="N42" s="14">
        <f>SUM(PrimCons333[[#This Row],[JAN]:[DEZ]])</f>
        <v>2476</v>
      </c>
    </row>
    <row r="43" spans="1:14" x14ac:dyDescent="0.2">
      <c r="A43" s="118"/>
      <c r="B43" s="119">
        <f>SUBTOTAL(109,PrimCons333[JAN])</f>
        <v>192</v>
      </c>
      <c r="C43" s="119">
        <f>SUBTOTAL(109,PrimCons333[FEV])</f>
        <v>244</v>
      </c>
      <c r="D43" s="119">
        <f>SUBTOTAL(109,PrimCons333[MAR])</f>
        <v>484</v>
      </c>
      <c r="E43" s="119">
        <f>SUBTOTAL(109,PrimCons333[ABR])</f>
        <v>702</v>
      </c>
      <c r="F43" s="119">
        <f>SUBTOTAL(109,PrimCons333[MAI])</f>
        <v>807</v>
      </c>
      <c r="G43" s="119">
        <f>SUBTOTAL(109,PrimCons333[JUN])</f>
        <v>595</v>
      </c>
      <c r="H43" s="119">
        <f>SUBTOTAL(109,PrimCons333[JUL])</f>
        <v>396</v>
      </c>
      <c r="I43" s="119">
        <f>SUBTOTAL(109,PrimCons333[AGO])</f>
        <v>375</v>
      </c>
      <c r="J43" s="119">
        <f>SUBTOTAL(109,PrimCons333[SET])</f>
        <v>557</v>
      </c>
      <c r="K43" s="119">
        <f>SUBTOTAL(109,PrimCons333[OUT])</f>
        <v>542</v>
      </c>
      <c r="L43" s="119">
        <f>SUBTOTAL(109,PrimCons333[NOV])</f>
        <v>465</v>
      </c>
      <c r="M43" s="119">
        <f>SUBTOTAL(109,PrimCons333[DEZ])</f>
        <v>252</v>
      </c>
      <c r="N43" s="119">
        <f>SUBTOTAL(109,PrimCons333[2019])</f>
        <v>5611</v>
      </c>
    </row>
    <row r="44" spans="1:14" ht="12" thickBot="1" x14ac:dyDescent="0.25"/>
    <row r="45" spans="1:14" ht="20.25" thickTop="1" thickBot="1" x14ac:dyDescent="0.25">
      <c r="A45" s="160" t="s">
        <v>389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</row>
    <row r="46" spans="1:14" ht="12" thickTop="1" x14ac:dyDescent="0.2">
      <c r="A46" s="1" t="s">
        <v>136</v>
      </c>
      <c r="B46" s="111" t="s">
        <v>1</v>
      </c>
      <c r="C46" s="112" t="s">
        <v>2</v>
      </c>
      <c r="D46" s="112" t="s">
        <v>3</v>
      </c>
      <c r="E46" s="112" t="s">
        <v>4</v>
      </c>
      <c r="F46" s="112" t="s">
        <v>5</v>
      </c>
      <c r="G46" s="112" t="s">
        <v>6</v>
      </c>
      <c r="H46" s="112" t="s">
        <v>7</v>
      </c>
      <c r="I46" s="112" t="s">
        <v>8</v>
      </c>
      <c r="J46" s="112" t="s">
        <v>9</v>
      </c>
      <c r="K46" s="112" t="s">
        <v>10</v>
      </c>
      <c r="L46" s="112" t="s">
        <v>11</v>
      </c>
      <c r="M46" s="113" t="s">
        <v>12</v>
      </c>
      <c r="N46" s="2" t="s">
        <v>241</v>
      </c>
    </row>
    <row r="47" spans="1:14" x14ac:dyDescent="0.2">
      <c r="A47" s="1" t="s">
        <v>281</v>
      </c>
      <c r="B47" s="114"/>
      <c r="C47" s="115">
        <v>194</v>
      </c>
      <c r="D47" s="115">
        <v>207</v>
      </c>
      <c r="E47" s="115">
        <v>150</v>
      </c>
      <c r="F47" s="115">
        <v>74</v>
      </c>
      <c r="G47" s="115">
        <v>16</v>
      </c>
      <c r="H47" s="115">
        <v>0</v>
      </c>
      <c r="I47" s="115">
        <v>215</v>
      </c>
      <c r="J47" s="115">
        <v>203</v>
      </c>
      <c r="K47" s="115">
        <v>130</v>
      </c>
      <c r="L47" s="115">
        <v>112</v>
      </c>
      <c r="M47" s="116">
        <v>62</v>
      </c>
      <c r="N47" s="14">
        <f>SUM(AMBG8[[#This Row],[JAN]:[DEZ]])</f>
        <v>1363</v>
      </c>
    </row>
    <row r="48" spans="1:14" x14ac:dyDescent="0.2">
      <c r="A48" s="118"/>
      <c r="B48" s="138">
        <f>SUBTOTAL(109,AMBG8[JAN])</f>
        <v>0</v>
      </c>
      <c r="C48" s="139">
        <f>SUBTOTAL(109,AMBG8[FEV])</f>
        <v>194</v>
      </c>
      <c r="D48" s="139">
        <f>SUBTOTAL(109,AMBG8[MAR])</f>
        <v>207</v>
      </c>
      <c r="E48" s="139">
        <f>SUBTOTAL(109,AMBG8[ABR])</f>
        <v>150</v>
      </c>
      <c r="F48" s="139">
        <f>SUBTOTAL(109,AMBG8[MAI])</f>
        <v>74</v>
      </c>
      <c r="G48" s="139">
        <f>SUBTOTAL(109,AMBG8[JUN])</f>
        <v>16</v>
      </c>
      <c r="H48" s="139">
        <f>SUBTOTAL(109,AMBG8[JUL])</f>
        <v>0</v>
      </c>
      <c r="I48" s="139">
        <f>SUBTOTAL(109,AMBG8[AGO])</f>
        <v>215</v>
      </c>
      <c r="J48" s="139">
        <f>SUBTOTAL(109,AMBG8[SET])</f>
        <v>203</v>
      </c>
      <c r="K48" s="139">
        <f>SUBTOTAL(109,AMBG8[OUT])</f>
        <v>130</v>
      </c>
      <c r="L48" s="139">
        <f>SUBTOTAL(109,AMBG8[NOV])</f>
        <v>112</v>
      </c>
      <c r="M48" s="140">
        <f>SUBTOTAL(109,AMBG8[DEZ])</f>
        <v>62</v>
      </c>
      <c r="N48" s="119">
        <f>SUBTOTAL(109,AMBG8[2019])</f>
        <v>1363</v>
      </c>
    </row>
  </sheetData>
  <sheetProtection autoFilter="0"/>
  <mergeCells count="4">
    <mergeCell ref="A32:N32"/>
    <mergeCell ref="A39:N39"/>
    <mergeCell ref="A1:N1"/>
    <mergeCell ref="A45:N45"/>
  </mergeCells>
  <pageMargins left="0.511811024" right="0.511811024" top="0.78740157499999996" bottom="0.78740157499999996" header="0.31496062000000002" footer="0.31496062000000002"/>
  <pageSetup paperSize="9" orientation="portrait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61"/>
  <sheetViews>
    <sheetView topLeftCell="A2" zoomScale="90" zoomScaleNormal="90" workbookViewId="0">
      <selection activeCell="A2" sqref="A2:N2"/>
    </sheetView>
  </sheetViews>
  <sheetFormatPr defaultRowHeight="11.25" x14ac:dyDescent="0.2"/>
  <cols>
    <col min="1" max="1" width="14.140625" style="1" bestFit="1" customWidth="1"/>
    <col min="2" max="16384" width="9.140625" style="1"/>
  </cols>
  <sheetData>
    <row r="1" spans="1:15" hidden="1" x14ac:dyDescent="0.2">
      <c r="B1" s="1">
        <v>201901</v>
      </c>
      <c r="C1" s="1">
        <v>201902</v>
      </c>
      <c r="D1" s="1">
        <v>201903</v>
      </c>
      <c r="E1" s="1">
        <v>201904</v>
      </c>
      <c r="F1" s="1">
        <v>201905</v>
      </c>
      <c r="G1" s="1">
        <v>201906</v>
      </c>
      <c r="H1" s="1">
        <v>201907</v>
      </c>
      <c r="I1" s="1">
        <v>201908</v>
      </c>
      <c r="J1" s="1">
        <v>201909</v>
      </c>
      <c r="K1" s="1">
        <v>201910</v>
      </c>
      <c r="L1" s="1">
        <v>201911</v>
      </c>
      <c r="M1" s="1">
        <v>201912</v>
      </c>
    </row>
    <row r="2" spans="1:15" ht="16.5" thickBot="1" x14ac:dyDescent="0.25">
      <c r="A2" s="161" t="s">
        <v>242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5" ht="12" thickTop="1" x14ac:dyDescent="0.2">
      <c r="A3" s="1" t="s">
        <v>206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241</v>
      </c>
    </row>
    <row r="4" spans="1:15" x14ac:dyDescent="0.2">
      <c r="A4" s="1" t="s">
        <v>207</v>
      </c>
      <c r="B4" s="9">
        <v>3570</v>
      </c>
      <c r="C4" s="9">
        <v>3181</v>
      </c>
      <c r="D4" s="9">
        <v>3629</v>
      </c>
      <c r="E4" s="9">
        <v>3638</v>
      </c>
      <c r="F4" s="9">
        <v>3739</v>
      </c>
      <c r="G4" s="9">
        <v>3586</v>
      </c>
      <c r="H4" s="9">
        <v>3568</v>
      </c>
      <c r="I4" s="9">
        <v>3440</v>
      </c>
      <c r="J4" s="9">
        <v>3403</v>
      </c>
      <c r="K4" s="9">
        <v>3598</v>
      </c>
      <c r="L4" s="9">
        <v>3565</v>
      </c>
      <c r="M4" s="9">
        <v>3695</v>
      </c>
      <c r="N4" s="14">
        <f>SUM(Tabela279[[JAN]:[DEZ]])</f>
        <v>42612</v>
      </c>
    </row>
    <row r="6" spans="1:15" ht="16.5" thickBot="1" x14ac:dyDescent="0.25">
      <c r="A6" s="161" t="s">
        <v>243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15" ht="12" thickTop="1" x14ac:dyDescent="0.2">
      <c r="A7" s="1" t="s">
        <v>206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241</v>
      </c>
      <c r="O7" s="1" t="s">
        <v>244</v>
      </c>
    </row>
    <row r="8" spans="1:15" x14ac:dyDescent="0.2">
      <c r="A8" s="1" t="s">
        <v>215</v>
      </c>
      <c r="B8" s="9">
        <v>408</v>
      </c>
      <c r="C8" s="9">
        <v>381</v>
      </c>
      <c r="D8" s="9">
        <v>428</v>
      </c>
      <c r="E8" s="9">
        <v>515</v>
      </c>
      <c r="F8" s="9">
        <v>496</v>
      </c>
      <c r="G8" s="9">
        <v>511</v>
      </c>
      <c r="H8" s="9">
        <v>418</v>
      </c>
      <c r="I8" s="9">
        <v>382</v>
      </c>
      <c r="J8" s="9">
        <v>362</v>
      </c>
      <c r="K8" s="9">
        <v>443</v>
      </c>
      <c r="L8" s="9">
        <v>499</v>
      </c>
      <c r="M8" s="9">
        <v>439</v>
      </c>
      <c r="N8" s="14">
        <f>SUM(Tabela25[[#This Row],[JAN]:[DEZ]])</f>
        <v>5282</v>
      </c>
      <c r="O8" s="63">
        <f>Tabela25[[#This Row],[2019]]/Tabela25[[#Totals],[2019]]</f>
        <v>0.12395569323195343</v>
      </c>
    </row>
    <row r="9" spans="1:15" x14ac:dyDescent="0.2">
      <c r="A9" s="1" t="s">
        <v>236</v>
      </c>
      <c r="B9" s="9">
        <v>230</v>
      </c>
      <c r="C9" s="9">
        <v>146</v>
      </c>
      <c r="D9" s="9">
        <v>190</v>
      </c>
      <c r="E9" s="9">
        <v>185</v>
      </c>
      <c r="F9" s="9">
        <v>183</v>
      </c>
      <c r="G9" s="9">
        <v>167</v>
      </c>
      <c r="H9" s="9">
        <v>303</v>
      </c>
      <c r="I9" s="9">
        <v>210</v>
      </c>
      <c r="J9" s="9">
        <v>155</v>
      </c>
      <c r="K9" s="9">
        <v>177</v>
      </c>
      <c r="L9" s="9">
        <v>142</v>
      </c>
      <c r="M9" s="9">
        <v>118</v>
      </c>
      <c r="N9" s="14">
        <f>SUM(Tabela25[[#This Row],[JAN]:[DEZ]])</f>
        <v>2206</v>
      </c>
      <c r="O9" s="63">
        <f>Tabela25[[#This Row],[2019]]/Tabela25[[#Totals],[2019]]</f>
        <v>5.1769454613723835E-2</v>
      </c>
    </row>
    <row r="10" spans="1:15" x14ac:dyDescent="0.2">
      <c r="A10" s="1" t="s">
        <v>237</v>
      </c>
      <c r="B10" s="9">
        <v>2176</v>
      </c>
      <c r="C10" s="9">
        <v>1974</v>
      </c>
      <c r="D10" s="9">
        <v>2246</v>
      </c>
      <c r="E10" s="9">
        <v>2222</v>
      </c>
      <c r="F10" s="9">
        <v>2269</v>
      </c>
      <c r="G10" s="9">
        <v>2118</v>
      </c>
      <c r="H10" s="9">
        <v>1610</v>
      </c>
      <c r="I10" s="9">
        <v>1894</v>
      </c>
      <c r="J10" s="9">
        <v>1964</v>
      </c>
      <c r="K10" s="9">
        <v>1969</v>
      </c>
      <c r="L10" s="9">
        <v>2026</v>
      </c>
      <c r="M10" s="9">
        <v>2093</v>
      </c>
      <c r="N10" s="14">
        <f>SUM(Tabela25[[#This Row],[JAN]:[DEZ]])</f>
        <v>24561</v>
      </c>
      <c r="O10" s="63">
        <f>Tabela25[[#This Row],[2019]]/Tabela25[[#Totals],[2019]]</f>
        <v>0.57638693325823709</v>
      </c>
    </row>
    <row r="11" spans="1:15" x14ac:dyDescent="0.2">
      <c r="A11" s="1" t="s">
        <v>216</v>
      </c>
      <c r="B11" s="9">
        <v>661</v>
      </c>
      <c r="C11" s="9">
        <v>565</v>
      </c>
      <c r="D11" s="9">
        <v>654</v>
      </c>
      <c r="E11" s="9">
        <v>628</v>
      </c>
      <c r="F11" s="9">
        <v>647</v>
      </c>
      <c r="G11" s="9">
        <v>670</v>
      </c>
      <c r="H11" s="9">
        <v>1102</v>
      </c>
      <c r="I11" s="9">
        <v>821</v>
      </c>
      <c r="J11" s="9">
        <v>756</v>
      </c>
      <c r="K11" s="9">
        <v>870</v>
      </c>
      <c r="L11" s="9">
        <v>789</v>
      </c>
      <c r="M11" s="9">
        <v>845</v>
      </c>
      <c r="N11" s="14">
        <f>SUM(Tabela25[[#This Row],[JAN]:[DEZ]])</f>
        <v>9008</v>
      </c>
      <c r="O11" s="63">
        <f>Tabela25[[#This Row],[2019]]/Tabela25[[#Totals],[2019]]</f>
        <v>0.2113958509340092</v>
      </c>
    </row>
    <row r="12" spans="1:15" x14ac:dyDescent="0.2">
      <c r="A12" s="1" t="s">
        <v>238</v>
      </c>
      <c r="B12" s="9">
        <v>93</v>
      </c>
      <c r="C12" s="9">
        <v>114</v>
      </c>
      <c r="D12" s="9">
        <v>109</v>
      </c>
      <c r="E12" s="9">
        <v>86</v>
      </c>
      <c r="F12" s="9">
        <v>140</v>
      </c>
      <c r="G12" s="9">
        <v>117</v>
      </c>
      <c r="H12" s="9">
        <v>133</v>
      </c>
      <c r="I12" s="9">
        <v>128</v>
      </c>
      <c r="J12" s="9">
        <v>159</v>
      </c>
      <c r="K12" s="9">
        <v>137</v>
      </c>
      <c r="L12" s="9">
        <v>107</v>
      </c>
      <c r="M12" s="9">
        <v>194</v>
      </c>
      <c r="N12" s="14">
        <f>SUM(Tabela25[[#This Row],[JAN]:[DEZ]])</f>
        <v>1517</v>
      </c>
      <c r="O12" s="63">
        <f>Tabela25[[#This Row],[2019]]/Tabela25[[#Totals],[2019]]</f>
        <v>3.5600300384868111E-2</v>
      </c>
    </row>
    <row r="13" spans="1:15" x14ac:dyDescent="0.2">
      <c r="A13" s="1" t="s">
        <v>217</v>
      </c>
      <c r="B13" s="9">
        <v>2</v>
      </c>
      <c r="C13" s="9">
        <v>1</v>
      </c>
      <c r="D13" s="9">
        <v>2</v>
      </c>
      <c r="E13" s="9">
        <v>2</v>
      </c>
      <c r="F13" s="9">
        <v>4</v>
      </c>
      <c r="G13" s="9">
        <v>3</v>
      </c>
      <c r="H13" s="9">
        <v>2</v>
      </c>
      <c r="I13" s="9">
        <v>5</v>
      </c>
      <c r="J13" s="9">
        <v>7</v>
      </c>
      <c r="K13" s="9">
        <v>2</v>
      </c>
      <c r="L13" s="9">
        <v>2</v>
      </c>
      <c r="M13" s="9">
        <v>6</v>
      </c>
      <c r="N13" s="14">
        <f>SUM(Tabela25[[#This Row],[JAN]:[DEZ]])</f>
        <v>38</v>
      </c>
      <c r="O13" s="63">
        <f>Tabela25[[#This Row],[2019]]/Tabela25[[#Totals],[2019]]</f>
        <v>8.917675772082981E-4</v>
      </c>
    </row>
    <row r="14" spans="1:15" x14ac:dyDescent="0.2">
      <c r="A14" s="118"/>
      <c r="B14" s="119">
        <f>SUBTOTAL(109,Tabela25[JAN])</f>
        <v>3570</v>
      </c>
      <c r="C14" s="119">
        <f>SUBTOTAL(109,Tabela25[FEV])</f>
        <v>3181</v>
      </c>
      <c r="D14" s="119">
        <f>SUBTOTAL(109,Tabela25[MAR])</f>
        <v>3629</v>
      </c>
      <c r="E14" s="119">
        <f>SUBTOTAL(109,Tabela25[ABR])</f>
        <v>3638</v>
      </c>
      <c r="F14" s="119">
        <f>SUBTOTAL(109,Tabela25[MAI])</f>
        <v>3739</v>
      </c>
      <c r="G14" s="119">
        <f>SUBTOTAL(109,Tabela25[JUN])</f>
        <v>3586</v>
      </c>
      <c r="H14" s="119">
        <f>SUBTOTAL(109,Tabela25[JUL])</f>
        <v>3568</v>
      </c>
      <c r="I14" s="119">
        <f>SUBTOTAL(109,Tabela25[AGO])</f>
        <v>3440</v>
      </c>
      <c r="J14" s="119">
        <f>SUBTOTAL(109,Tabela25[SET])</f>
        <v>3403</v>
      </c>
      <c r="K14" s="119">
        <f>SUBTOTAL(109,Tabela25[OUT])</f>
        <v>3598</v>
      </c>
      <c r="L14" s="119">
        <f>SUBTOTAL(109,Tabela25[NOV])</f>
        <v>3565</v>
      </c>
      <c r="M14" s="119">
        <f>SUBTOTAL(109,Tabela25[DEZ])</f>
        <v>3695</v>
      </c>
      <c r="N14" s="119">
        <f>SUBTOTAL(109,Tabela25[2019])</f>
        <v>42612</v>
      </c>
      <c r="O14" s="118"/>
    </row>
    <row r="16" spans="1:15" ht="16.5" thickBot="1" x14ac:dyDescent="0.25">
      <c r="A16" s="161" t="s">
        <v>245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</row>
    <row r="17" spans="1:15" ht="12" thickTop="1" x14ac:dyDescent="0.2">
      <c r="A17" s="1" t="s">
        <v>206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12</v>
      </c>
      <c r="N17" s="1" t="s">
        <v>241</v>
      </c>
    </row>
    <row r="18" spans="1:15" x14ac:dyDescent="0.2">
      <c r="A18" s="1" t="s">
        <v>215</v>
      </c>
      <c r="B18" s="79">
        <v>9.5485294113699197</v>
      </c>
      <c r="C18" s="79">
        <v>9.1353018371311325</v>
      </c>
      <c r="D18" s="79">
        <v>10.469781931135563</v>
      </c>
      <c r="E18" s="79">
        <v>12.068867313874506</v>
      </c>
      <c r="F18" s="79">
        <v>12.806014785418219</v>
      </c>
      <c r="G18" s="79">
        <v>10.100358773748264</v>
      </c>
      <c r="H18" s="79">
        <v>12.204465709513043</v>
      </c>
      <c r="I18" s="79">
        <v>14.618891797434411</v>
      </c>
      <c r="J18" s="79">
        <v>9.9472375690052015</v>
      </c>
      <c r="K18" s="79">
        <v>10.144883371197405</v>
      </c>
      <c r="L18" s="79">
        <v>14.456913827557791</v>
      </c>
      <c r="M18" s="79">
        <v>8.5137813210626323</v>
      </c>
      <c r="N18" s="80">
        <v>11.230304177664644</v>
      </c>
    </row>
    <row r="19" spans="1:15" x14ac:dyDescent="0.2">
      <c r="A19" s="1" t="s">
        <v>236</v>
      </c>
      <c r="B19" s="79">
        <v>10.807971014798133</v>
      </c>
      <c r="C19" s="79">
        <v>9.4107305940180037</v>
      </c>
      <c r="D19" s="79">
        <v>13.226315788967584</v>
      </c>
      <c r="E19" s="79">
        <v>14.246216216332254</v>
      </c>
      <c r="F19" s="79">
        <v>15.843351547945995</v>
      </c>
      <c r="G19" s="79">
        <v>10.7392215570658</v>
      </c>
      <c r="H19" s="79">
        <v>13.43987898786995</v>
      </c>
      <c r="I19" s="79">
        <v>13.320238094976439</v>
      </c>
      <c r="J19" s="79">
        <v>11.767526881904491</v>
      </c>
      <c r="K19" s="79">
        <v>11.183521657100863</v>
      </c>
      <c r="L19" s="79">
        <v>18.127582159654146</v>
      </c>
      <c r="M19" s="79">
        <v>8.1701977395598568</v>
      </c>
      <c r="N19" s="80">
        <v>12.652908733712717</v>
      </c>
    </row>
    <row r="20" spans="1:15" x14ac:dyDescent="0.2">
      <c r="A20" s="1" t="s">
        <v>237</v>
      </c>
      <c r="B20" s="79">
        <v>10.537561274638982</v>
      </c>
      <c r="C20" s="79">
        <v>8.7053107060467276</v>
      </c>
      <c r="D20" s="79">
        <v>10.189247551127</v>
      </c>
      <c r="E20" s="79">
        <v>13.015706570611862</v>
      </c>
      <c r="F20" s="79">
        <v>13.989606287509245</v>
      </c>
      <c r="G20" s="79">
        <v>9.2310434373055408</v>
      </c>
      <c r="H20" s="79">
        <v>16.695031056065627</v>
      </c>
      <c r="I20" s="79">
        <v>13.896550510488396</v>
      </c>
      <c r="J20" s="79">
        <v>8.2964188731333586</v>
      </c>
      <c r="K20" s="79">
        <v>9.2204164550598318</v>
      </c>
      <c r="L20" s="79">
        <v>13.708094767884255</v>
      </c>
      <c r="M20" s="79">
        <v>8.0472766363666679</v>
      </c>
      <c r="N20" s="80">
        <v>11.216054585207418</v>
      </c>
    </row>
    <row r="21" spans="1:15" x14ac:dyDescent="0.2">
      <c r="A21" s="1" t="s">
        <v>216</v>
      </c>
      <c r="B21" s="79">
        <v>7.1918305593864007</v>
      </c>
      <c r="C21" s="79">
        <v>5.7691150445107837</v>
      </c>
      <c r="D21" s="79">
        <v>6.1772426095665134</v>
      </c>
      <c r="E21" s="79">
        <v>7.6854033969790567</v>
      </c>
      <c r="F21" s="79">
        <v>8.5087841319192314</v>
      </c>
      <c r="G21" s="79">
        <v>5.2017412936565144</v>
      </c>
      <c r="H21" s="79">
        <v>10.184724743055652</v>
      </c>
      <c r="I21" s="79">
        <v>8.528684530925883</v>
      </c>
      <c r="J21" s="79">
        <v>6.1578483243301028</v>
      </c>
      <c r="K21" s="79">
        <v>6.8549616858523725</v>
      </c>
      <c r="L21" s="79">
        <v>7.0456485002622102</v>
      </c>
      <c r="M21" s="79">
        <v>5.6257988168725728</v>
      </c>
      <c r="N21" s="80">
        <v>7.2188758141153171</v>
      </c>
    </row>
    <row r="22" spans="1:15" x14ac:dyDescent="0.2">
      <c r="A22" s="1" t="s">
        <v>238</v>
      </c>
      <c r="B22" s="79">
        <v>5.7724014331676781</v>
      </c>
      <c r="C22" s="79">
        <v>5.2944444448344017</v>
      </c>
      <c r="D22" s="79">
        <v>5.9411314985001411</v>
      </c>
      <c r="E22" s="79">
        <v>7.3701550391892532</v>
      </c>
      <c r="F22" s="79">
        <v>8.1324999991255549</v>
      </c>
      <c r="G22" s="79">
        <v>6.7404558396754934</v>
      </c>
      <c r="H22" s="79">
        <v>11.570175438760463</v>
      </c>
      <c r="I22" s="79">
        <v>8.2733072912651551</v>
      </c>
      <c r="J22" s="79">
        <v>7.3679245281349521</v>
      </c>
      <c r="K22" s="79">
        <v>6.587104622816776</v>
      </c>
      <c r="L22" s="79">
        <v>10.805295950093386</v>
      </c>
      <c r="M22" s="79">
        <v>6.1164948447864287</v>
      </c>
      <c r="N22" s="80">
        <v>7.4907822454232793</v>
      </c>
    </row>
    <row r="23" spans="1:15" x14ac:dyDescent="0.2">
      <c r="A23" s="1" t="s">
        <v>217</v>
      </c>
      <c r="B23" s="79">
        <v>14.424999998300336</v>
      </c>
      <c r="C23" s="79">
        <v>4.5333333348389715</v>
      </c>
      <c r="D23" s="79">
        <v>4.7833333304151893</v>
      </c>
      <c r="E23" s="79">
        <v>8.1333333381917328</v>
      </c>
      <c r="F23" s="79">
        <v>4.0833333370392211</v>
      </c>
      <c r="G23" s="79">
        <v>0.77222222462296486</v>
      </c>
      <c r="H23" s="79">
        <v>6.8500000034691766</v>
      </c>
      <c r="I23" s="79">
        <v>5.6399999982677409</v>
      </c>
      <c r="J23" s="79">
        <v>3.7095238085437034</v>
      </c>
      <c r="K23" s="79">
        <v>10.941666667931713</v>
      </c>
      <c r="L23" s="79">
        <v>4.6666666679084301</v>
      </c>
      <c r="M23" s="79">
        <v>1.7083333327900618</v>
      </c>
      <c r="N23" s="80">
        <v>4.9263157899258658</v>
      </c>
    </row>
    <row r="24" spans="1:15" x14ac:dyDescent="0.2">
      <c r="A24" s="118"/>
      <c r="B24" s="141" t="s">
        <v>279</v>
      </c>
      <c r="C24" s="141" t="s">
        <v>280</v>
      </c>
      <c r="D24" s="141" t="s">
        <v>282</v>
      </c>
      <c r="E24" s="141" t="s">
        <v>284</v>
      </c>
      <c r="F24" s="141" t="s">
        <v>334</v>
      </c>
      <c r="G24" s="141" t="s">
        <v>370</v>
      </c>
      <c r="H24" s="141" t="s">
        <v>369</v>
      </c>
      <c r="I24" s="141" t="s">
        <v>376</v>
      </c>
      <c r="J24" s="141" t="s">
        <v>280</v>
      </c>
      <c r="K24" s="141" t="s">
        <v>396</v>
      </c>
      <c r="L24" s="141" t="s">
        <v>376</v>
      </c>
      <c r="M24" s="141" t="s">
        <v>401</v>
      </c>
      <c r="N24" s="141" t="s">
        <v>402</v>
      </c>
    </row>
    <row r="26" spans="1:15" ht="16.5" thickBot="1" x14ac:dyDescent="0.25">
      <c r="A26" s="161" t="s">
        <v>246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</row>
    <row r="27" spans="1:15" ht="12" thickTop="1" x14ac:dyDescent="0.2">
      <c r="A27" s="1" t="s">
        <v>206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241</v>
      </c>
      <c r="O27" s="1" t="s">
        <v>244</v>
      </c>
    </row>
    <row r="28" spans="1:15" x14ac:dyDescent="0.2">
      <c r="A28" s="1" t="s">
        <v>218</v>
      </c>
      <c r="B28" s="9">
        <v>3198</v>
      </c>
      <c r="C28" s="9">
        <v>2876</v>
      </c>
      <c r="D28" s="9">
        <v>3236</v>
      </c>
      <c r="E28" s="9">
        <v>3221</v>
      </c>
      <c r="F28" s="9">
        <v>3308</v>
      </c>
      <c r="G28" s="9">
        <v>3167</v>
      </c>
      <c r="H28" s="9">
        <v>3147</v>
      </c>
      <c r="I28" s="9">
        <v>2941</v>
      </c>
      <c r="J28" s="9">
        <v>2987</v>
      </c>
      <c r="K28" s="9">
        <v>3167</v>
      </c>
      <c r="L28" s="9">
        <v>3096</v>
      </c>
      <c r="M28" s="9">
        <v>3225</v>
      </c>
      <c r="N28" s="14">
        <f>SUM(Tabela256[[#This Row],[JAN]:[DEZ]])</f>
        <v>37569</v>
      </c>
      <c r="O28" s="63">
        <f>Tabela256[[#This Row],[2019]]/Tabela256[[#Totals],[2019]]</f>
        <v>0.88165305547733031</v>
      </c>
    </row>
    <row r="29" spans="1:15" x14ac:dyDescent="0.2">
      <c r="A29" s="1" t="s">
        <v>219</v>
      </c>
      <c r="B29" s="9">
        <v>207</v>
      </c>
      <c r="C29" s="9">
        <v>162</v>
      </c>
      <c r="D29" s="9">
        <v>212</v>
      </c>
      <c r="E29" s="9">
        <v>210</v>
      </c>
      <c r="F29" s="9">
        <v>218</v>
      </c>
      <c r="G29" s="9">
        <v>250</v>
      </c>
      <c r="H29" s="9">
        <v>229</v>
      </c>
      <c r="I29" s="9">
        <v>279</v>
      </c>
      <c r="J29" s="9">
        <v>228</v>
      </c>
      <c r="K29" s="9">
        <v>253</v>
      </c>
      <c r="L29" s="9">
        <v>269</v>
      </c>
      <c r="M29" s="9">
        <v>284</v>
      </c>
      <c r="N29" s="14">
        <f>SUM(Tabela256[[#This Row],[JAN]:[DEZ]])</f>
        <v>2801</v>
      </c>
      <c r="O29" s="63">
        <f>Tabela256[[#This Row],[2019]]/Tabela256[[#Totals],[2019]]</f>
        <v>6.5732657467380079E-2</v>
      </c>
    </row>
    <row r="30" spans="1:15" x14ac:dyDescent="0.2">
      <c r="A30" s="1" t="s">
        <v>220</v>
      </c>
      <c r="B30" s="9">
        <v>45</v>
      </c>
      <c r="C30" s="9">
        <v>42</v>
      </c>
      <c r="D30" s="9">
        <v>42</v>
      </c>
      <c r="E30" s="9">
        <v>53</v>
      </c>
      <c r="F30" s="9">
        <v>59</v>
      </c>
      <c r="G30" s="9">
        <v>37</v>
      </c>
      <c r="H30" s="9">
        <v>50</v>
      </c>
      <c r="I30" s="9">
        <v>44</v>
      </c>
      <c r="J30" s="9">
        <v>26</v>
      </c>
      <c r="K30" s="9">
        <v>37</v>
      </c>
      <c r="L30" s="9">
        <v>35</v>
      </c>
      <c r="M30" s="9">
        <v>44</v>
      </c>
      <c r="N30" s="14">
        <f>SUM(Tabela256[[#This Row],[JAN]:[DEZ]])</f>
        <v>514</v>
      </c>
      <c r="O30" s="63">
        <f>Tabela256[[#This Row],[2019]]/Tabela256[[#Totals],[2019]]</f>
        <v>1.2062329860133296E-2</v>
      </c>
    </row>
    <row r="31" spans="1:15" x14ac:dyDescent="0.2">
      <c r="A31" s="1" t="s">
        <v>135</v>
      </c>
      <c r="B31" s="9">
        <v>120</v>
      </c>
      <c r="C31" s="9">
        <v>101</v>
      </c>
      <c r="D31" s="9">
        <v>139</v>
      </c>
      <c r="E31" s="9">
        <v>154</v>
      </c>
      <c r="F31" s="9">
        <v>154</v>
      </c>
      <c r="G31" s="9">
        <v>132</v>
      </c>
      <c r="H31" s="9">
        <v>142</v>
      </c>
      <c r="I31" s="9">
        <v>176</v>
      </c>
      <c r="J31" s="9">
        <v>162</v>
      </c>
      <c r="K31" s="9">
        <v>141</v>
      </c>
      <c r="L31" s="9">
        <v>165</v>
      </c>
      <c r="M31" s="9">
        <v>142</v>
      </c>
      <c r="N31" s="14">
        <f>SUM(Tabela256[[#This Row],[JAN]:[DEZ]])</f>
        <v>1728</v>
      </c>
      <c r="O31" s="63">
        <f>Tabela256[[#This Row],[2019]]/Tabela256[[#Totals],[2019]]</f>
        <v>4.0551957195156293E-2</v>
      </c>
    </row>
    <row r="32" spans="1:15" x14ac:dyDescent="0.2">
      <c r="A32" s="118"/>
      <c r="B32" s="119">
        <f>SUBTOTAL(109,Tabela256[JAN])</f>
        <v>3570</v>
      </c>
      <c r="C32" s="119">
        <f>SUBTOTAL(109,Tabela256[FEV])</f>
        <v>3181</v>
      </c>
      <c r="D32" s="119">
        <f>SUBTOTAL(109,Tabela256[MAR])</f>
        <v>3629</v>
      </c>
      <c r="E32" s="119">
        <f>SUBTOTAL(109,Tabela256[ABR])</f>
        <v>3638</v>
      </c>
      <c r="F32" s="119">
        <f>SUBTOTAL(109,Tabela256[MAI])</f>
        <v>3739</v>
      </c>
      <c r="G32" s="119">
        <f>SUBTOTAL(109,Tabela256[JUN])</f>
        <v>3586</v>
      </c>
      <c r="H32" s="119">
        <f>SUBTOTAL(109,Tabela256[JUL])</f>
        <v>3568</v>
      </c>
      <c r="I32" s="119">
        <f>SUBTOTAL(109,Tabela256[AGO])</f>
        <v>3440</v>
      </c>
      <c r="J32" s="119">
        <f>SUBTOTAL(109,Tabela256[SET])</f>
        <v>3403</v>
      </c>
      <c r="K32" s="119">
        <f>SUBTOTAL(109,Tabela256[OUT])</f>
        <v>3598</v>
      </c>
      <c r="L32" s="119">
        <f>SUBTOTAL(109,Tabela256[NOV])</f>
        <v>3565</v>
      </c>
      <c r="M32" s="119">
        <f>SUBTOTAL(109,Tabela256[DEZ])</f>
        <v>3695</v>
      </c>
      <c r="N32" s="119">
        <f>SUBTOTAL(109,Tabela256[2019])</f>
        <v>42612</v>
      </c>
      <c r="O32" s="118"/>
    </row>
    <row r="34" spans="1:15" ht="16.5" thickBot="1" x14ac:dyDescent="0.25">
      <c r="A34" s="161" t="s">
        <v>247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</row>
    <row r="35" spans="1:15" ht="12" thickTop="1" x14ac:dyDescent="0.2">
      <c r="A35" s="1" t="s">
        <v>206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241</v>
      </c>
      <c r="O35" s="1" t="s">
        <v>244</v>
      </c>
    </row>
    <row r="36" spans="1:15" x14ac:dyDescent="0.2">
      <c r="A36" s="1" t="s">
        <v>221</v>
      </c>
      <c r="B36" s="9">
        <v>2129</v>
      </c>
      <c r="C36" s="9">
        <v>1812</v>
      </c>
      <c r="D36" s="9">
        <v>2123</v>
      </c>
      <c r="E36" s="9">
        <v>2180</v>
      </c>
      <c r="F36" s="9">
        <v>2255</v>
      </c>
      <c r="G36" s="9">
        <v>2166</v>
      </c>
      <c r="H36" s="9">
        <v>2167</v>
      </c>
      <c r="I36" s="9">
        <v>2087</v>
      </c>
      <c r="J36" s="9">
        <v>2048</v>
      </c>
      <c r="K36" s="9">
        <v>2179</v>
      </c>
      <c r="L36" s="9">
        <v>2144</v>
      </c>
      <c r="M36" s="9">
        <v>2236</v>
      </c>
      <c r="N36" s="14">
        <f>SUM(Tabela2568[[#This Row],[JAN]:[DEZ]])</f>
        <v>25526</v>
      </c>
      <c r="O36" s="63">
        <f>Tabela2568[[#This Row],[2019]]/Tabela2568[[#Totals],[2019]]</f>
        <v>0.59903313620576359</v>
      </c>
    </row>
    <row r="37" spans="1:15" x14ac:dyDescent="0.2">
      <c r="A37" s="1" t="s">
        <v>222</v>
      </c>
      <c r="B37" s="9">
        <v>1441</v>
      </c>
      <c r="C37" s="9">
        <v>1369</v>
      </c>
      <c r="D37" s="9">
        <v>1506</v>
      </c>
      <c r="E37" s="9">
        <v>1458</v>
      </c>
      <c r="F37" s="9">
        <v>1484</v>
      </c>
      <c r="G37" s="9">
        <v>1420</v>
      </c>
      <c r="H37" s="9">
        <v>1401</v>
      </c>
      <c r="I37" s="9">
        <v>1353</v>
      </c>
      <c r="J37" s="9">
        <v>1355</v>
      </c>
      <c r="K37" s="9">
        <v>1419</v>
      </c>
      <c r="L37" s="9">
        <v>1421</v>
      </c>
      <c r="M37" s="9">
        <v>1459</v>
      </c>
      <c r="N37" s="14">
        <f>SUM(Tabela2568[[#This Row],[JAN]:[DEZ]])</f>
        <v>17086</v>
      </c>
      <c r="O37" s="63">
        <f>Tabela2568[[#This Row],[2019]]/Tabela2568[[#Totals],[2019]]</f>
        <v>0.40096686379423635</v>
      </c>
    </row>
    <row r="38" spans="1:15" x14ac:dyDescent="0.2">
      <c r="A38" s="118"/>
      <c r="B38" s="119">
        <f>SUBTOTAL(109,Tabela2568[JAN])</f>
        <v>3570</v>
      </c>
      <c r="C38" s="119">
        <f>SUBTOTAL(109,Tabela2568[FEV])</f>
        <v>3181</v>
      </c>
      <c r="D38" s="119">
        <f>SUBTOTAL(109,Tabela2568[MAR])</f>
        <v>3629</v>
      </c>
      <c r="E38" s="119">
        <f>SUBTOTAL(109,Tabela2568[ABR])</f>
        <v>3638</v>
      </c>
      <c r="F38" s="119">
        <f>SUBTOTAL(109,Tabela2568[MAI])</f>
        <v>3739</v>
      </c>
      <c r="G38" s="119">
        <f>SUBTOTAL(109,Tabela2568[JUN])</f>
        <v>3586</v>
      </c>
      <c r="H38" s="119">
        <f>SUBTOTAL(109,Tabela2568[JUL])</f>
        <v>3568</v>
      </c>
      <c r="I38" s="119">
        <f>SUBTOTAL(109,Tabela2568[AGO])</f>
        <v>3440</v>
      </c>
      <c r="J38" s="119">
        <f>SUBTOTAL(109,Tabela2568[SET])</f>
        <v>3403</v>
      </c>
      <c r="K38" s="119">
        <f>SUBTOTAL(109,Tabela2568[OUT])</f>
        <v>3598</v>
      </c>
      <c r="L38" s="119">
        <f>SUBTOTAL(109,Tabela2568[NOV])</f>
        <v>3565</v>
      </c>
      <c r="M38" s="119">
        <f>SUBTOTAL(109,Tabela2568[DEZ])</f>
        <v>3695</v>
      </c>
      <c r="N38" s="119">
        <f>SUBTOTAL(109,Tabela2568[2019])</f>
        <v>42612</v>
      </c>
      <c r="O38" s="118"/>
    </row>
    <row r="40" spans="1:15" ht="16.5" thickBot="1" x14ac:dyDescent="0.25">
      <c r="A40" s="161" t="s">
        <v>248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</row>
    <row r="41" spans="1:15" ht="12" thickTop="1" x14ac:dyDescent="0.2">
      <c r="A41" s="1" t="s">
        <v>206</v>
      </c>
      <c r="B41" s="1" t="s">
        <v>1</v>
      </c>
      <c r="C41" s="1" t="s">
        <v>2</v>
      </c>
      <c r="D41" s="1" t="s">
        <v>3</v>
      </c>
      <c r="E41" s="1" t="s">
        <v>4</v>
      </c>
      <c r="F41" s="1" t="s">
        <v>5</v>
      </c>
      <c r="G41" s="1" t="s">
        <v>6</v>
      </c>
      <c r="H41" s="1" t="s">
        <v>7</v>
      </c>
      <c r="I41" s="1" t="s">
        <v>8</v>
      </c>
      <c r="J41" s="1" t="s">
        <v>9</v>
      </c>
      <c r="K41" s="1" t="s">
        <v>10</v>
      </c>
      <c r="L41" s="1" t="s">
        <v>11</v>
      </c>
      <c r="M41" s="1" t="s">
        <v>12</v>
      </c>
      <c r="N41" s="1" t="s">
        <v>241</v>
      </c>
      <c r="O41" s="1" t="s">
        <v>244</v>
      </c>
    </row>
    <row r="42" spans="1:15" x14ac:dyDescent="0.2">
      <c r="A42" s="81" t="s">
        <v>102</v>
      </c>
      <c r="B42" s="9">
        <v>379</v>
      </c>
      <c r="C42" s="9">
        <v>332</v>
      </c>
      <c r="D42" s="9">
        <v>413</v>
      </c>
      <c r="E42" s="9">
        <v>404</v>
      </c>
      <c r="F42" s="9">
        <v>391</v>
      </c>
      <c r="G42" s="9">
        <v>362</v>
      </c>
      <c r="H42" s="9">
        <v>383</v>
      </c>
      <c r="I42" s="9">
        <v>411</v>
      </c>
      <c r="J42" s="9">
        <v>395</v>
      </c>
      <c r="K42" s="9">
        <v>427</v>
      </c>
      <c r="L42" s="9">
        <v>451</v>
      </c>
      <c r="M42" s="9">
        <v>505</v>
      </c>
      <c r="N42" s="14">
        <f>SUM(Tabela25689[[#This Row],[JAN]:[DEZ]])</f>
        <v>4853</v>
      </c>
      <c r="O42" s="63">
        <f>Tabela25689[[#This Row],[2019]]/Tabela25689[[#Totals],[2019]]</f>
        <v>0.11388810663662818</v>
      </c>
    </row>
    <row r="43" spans="1:15" x14ac:dyDescent="0.2">
      <c r="A43" s="81" t="s">
        <v>103</v>
      </c>
      <c r="B43" s="9">
        <v>388</v>
      </c>
      <c r="C43" s="9">
        <v>360</v>
      </c>
      <c r="D43" s="9">
        <v>453</v>
      </c>
      <c r="E43" s="9">
        <v>464</v>
      </c>
      <c r="F43" s="9">
        <v>487</v>
      </c>
      <c r="G43" s="9">
        <v>408</v>
      </c>
      <c r="H43" s="9">
        <v>437</v>
      </c>
      <c r="I43" s="9">
        <v>434</v>
      </c>
      <c r="J43" s="9">
        <v>426</v>
      </c>
      <c r="K43" s="9">
        <v>441</v>
      </c>
      <c r="L43" s="9">
        <v>440</v>
      </c>
      <c r="M43" s="9">
        <v>422</v>
      </c>
      <c r="N43" s="14">
        <f>SUM(Tabela25689[[#This Row],[JAN]:[DEZ]])</f>
        <v>5160</v>
      </c>
      <c r="O43" s="63">
        <f>Tabela25689[[#This Row],[2019]]/Tabela25689[[#Totals],[2019]]</f>
        <v>0.12109264995775838</v>
      </c>
    </row>
    <row r="44" spans="1:15" x14ac:dyDescent="0.2">
      <c r="A44" s="81" t="s">
        <v>223</v>
      </c>
      <c r="B44" s="9">
        <v>704</v>
      </c>
      <c r="C44" s="9">
        <v>645</v>
      </c>
      <c r="D44" s="9">
        <v>694</v>
      </c>
      <c r="E44" s="9">
        <v>704</v>
      </c>
      <c r="F44" s="9">
        <v>724</v>
      </c>
      <c r="G44" s="9">
        <v>729</v>
      </c>
      <c r="H44" s="9">
        <v>674</v>
      </c>
      <c r="I44" s="9">
        <v>668</v>
      </c>
      <c r="J44" s="9">
        <v>655</v>
      </c>
      <c r="K44" s="9">
        <v>762</v>
      </c>
      <c r="L44" s="9">
        <v>766</v>
      </c>
      <c r="M44" s="9">
        <v>797</v>
      </c>
      <c r="N44" s="14">
        <f>SUM(Tabela25689[[#This Row],[JAN]:[DEZ]])</f>
        <v>8522</v>
      </c>
      <c r="O44" s="63">
        <f>Tabela25689[[#This Row],[2019]]/Tabela25689[[#Totals],[2019]]</f>
        <v>0.19999061297287149</v>
      </c>
    </row>
    <row r="45" spans="1:15" x14ac:dyDescent="0.2">
      <c r="A45" s="81" t="s">
        <v>224</v>
      </c>
      <c r="B45" s="9">
        <v>640</v>
      </c>
      <c r="C45" s="9">
        <v>606</v>
      </c>
      <c r="D45" s="9">
        <v>623</v>
      </c>
      <c r="E45" s="9">
        <v>670</v>
      </c>
      <c r="F45" s="9">
        <v>681</v>
      </c>
      <c r="G45" s="9">
        <v>665</v>
      </c>
      <c r="H45" s="9">
        <v>635</v>
      </c>
      <c r="I45" s="9">
        <v>584</v>
      </c>
      <c r="J45" s="9">
        <v>633</v>
      </c>
      <c r="K45" s="9">
        <v>598</v>
      </c>
      <c r="L45" s="9">
        <v>641</v>
      </c>
      <c r="M45" s="9">
        <v>594</v>
      </c>
      <c r="N45" s="14">
        <f>SUM(Tabela25689[[#This Row],[JAN]:[DEZ]])</f>
        <v>7570</v>
      </c>
      <c r="O45" s="63">
        <f>Tabela25689[[#This Row],[2019]]/Tabela25689[[#Totals],[2019]]</f>
        <v>0.17764948840702149</v>
      </c>
    </row>
    <row r="46" spans="1:15" x14ac:dyDescent="0.2">
      <c r="A46" s="81" t="s">
        <v>225</v>
      </c>
      <c r="B46" s="9">
        <v>537</v>
      </c>
      <c r="C46" s="9">
        <v>500</v>
      </c>
      <c r="D46" s="9">
        <v>554</v>
      </c>
      <c r="E46" s="9">
        <v>502</v>
      </c>
      <c r="F46" s="9">
        <v>549</v>
      </c>
      <c r="G46" s="9">
        <v>528</v>
      </c>
      <c r="H46" s="9">
        <v>494</v>
      </c>
      <c r="I46" s="9">
        <v>475</v>
      </c>
      <c r="J46" s="9">
        <v>496</v>
      </c>
      <c r="K46" s="9">
        <v>528</v>
      </c>
      <c r="L46" s="9">
        <v>475</v>
      </c>
      <c r="M46" s="9">
        <v>505</v>
      </c>
      <c r="N46" s="14">
        <f>SUM(Tabela25689[[#This Row],[JAN]:[DEZ]])</f>
        <v>6143</v>
      </c>
      <c r="O46" s="63">
        <f>Tabela25689[[#This Row],[2019]]/Tabela25689[[#Totals],[2019]]</f>
        <v>0.14416126912606778</v>
      </c>
    </row>
    <row r="47" spans="1:15" x14ac:dyDescent="0.2">
      <c r="A47" s="81" t="s">
        <v>226</v>
      </c>
      <c r="B47" s="9">
        <v>388</v>
      </c>
      <c r="C47" s="9">
        <v>293</v>
      </c>
      <c r="D47" s="9">
        <v>391</v>
      </c>
      <c r="E47" s="9">
        <v>377</v>
      </c>
      <c r="F47" s="9">
        <v>382</v>
      </c>
      <c r="G47" s="9">
        <v>354</v>
      </c>
      <c r="H47" s="9">
        <v>419</v>
      </c>
      <c r="I47" s="9">
        <v>356</v>
      </c>
      <c r="J47" s="9">
        <v>311</v>
      </c>
      <c r="K47" s="9">
        <v>349</v>
      </c>
      <c r="L47" s="9">
        <v>321</v>
      </c>
      <c r="M47" s="9">
        <v>367</v>
      </c>
      <c r="N47" s="14">
        <f>SUM(Tabela25689[[#This Row],[JAN]:[DEZ]])</f>
        <v>4308</v>
      </c>
      <c r="O47" s="63">
        <f>Tabela25689[[#This Row],[2019]]/Tabela25689[[#Totals],[2019]]</f>
        <v>0.10109828217403548</v>
      </c>
    </row>
    <row r="48" spans="1:15" x14ac:dyDescent="0.2">
      <c r="A48" s="81" t="s">
        <v>227</v>
      </c>
      <c r="B48" s="9">
        <v>241</v>
      </c>
      <c r="C48" s="9">
        <v>189</v>
      </c>
      <c r="D48" s="9">
        <v>208</v>
      </c>
      <c r="E48" s="9">
        <v>219</v>
      </c>
      <c r="F48" s="9">
        <v>253</v>
      </c>
      <c r="G48" s="9">
        <v>246</v>
      </c>
      <c r="H48" s="9">
        <v>219</v>
      </c>
      <c r="I48" s="9">
        <v>237</v>
      </c>
      <c r="J48" s="9">
        <v>196</v>
      </c>
      <c r="K48" s="9">
        <v>206</v>
      </c>
      <c r="L48" s="9">
        <v>209</v>
      </c>
      <c r="M48" s="9">
        <v>235</v>
      </c>
      <c r="N48" s="14">
        <f>SUM(Tabela25689[[#This Row],[JAN]:[DEZ]])</f>
        <v>2658</v>
      </c>
      <c r="O48" s="63">
        <f>Tabela25689[[#This Row],[2019]]/Tabela25689[[#Totals],[2019]]</f>
        <v>6.2376795268938329E-2</v>
      </c>
    </row>
    <row r="49" spans="1:15" x14ac:dyDescent="0.2">
      <c r="A49" s="81" t="s">
        <v>228</v>
      </c>
      <c r="B49" s="9">
        <v>177</v>
      </c>
      <c r="C49" s="9">
        <v>162</v>
      </c>
      <c r="D49" s="9">
        <v>191</v>
      </c>
      <c r="E49" s="9">
        <v>177</v>
      </c>
      <c r="F49" s="9">
        <v>172</v>
      </c>
      <c r="G49" s="9">
        <v>197</v>
      </c>
      <c r="H49" s="9">
        <v>188</v>
      </c>
      <c r="I49" s="9">
        <v>161</v>
      </c>
      <c r="J49" s="9">
        <v>177</v>
      </c>
      <c r="K49" s="9">
        <v>178</v>
      </c>
      <c r="L49" s="9">
        <v>173</v>
      </c>
      <c r="M49" s="9">
        <v>180</v>
      </c>
      <c r="N49" s="14">
        <f>SUM(Tabela25689[[#This Row],[JAN]:[DEZ]])</f>
        <v>2133</v>
      </c>
      <c r="O49" s="63">
        <f>Tabela25689[[#This Row],[2019]]/Tabela25689[[#Totals],[2019]]</f>
        <v>5.0056322162771047E-2</v>
      </c>
    </row>
    <row r="50" spans="1:15" x14ac:dyDescent="0.2">
      <c r="A50" s="81" t="s">
        <v>229</v>
      </c>
      <c r="B50" s="9">
        <v>88</v>
      </c>
      <c r="C50" s="9">
        <v>72</v>
      </c>
      <c r="D50" s="9">
        <v>88</v>
      </c>
      <c r="E50" s="9">
        <v>97</v>
      </c>
      <c r="F50" s="9">
        <v>79</v>
      </c>
      <c r="G50" s="9">
        <v>75</v>
      </c>
      <c r="H50" s="9">
        <v>101</v>
      </c>
      <c r="I50" s="9">
        <v>92</v>
      </c>
      <c r="J50" s="9">
        <v>87</v>
      </c>
      <c r="K50" s="9">
        <v>90</v>
      </c>
      <c r="L50" s="9">
        <v>71</v>
      </c>
      <c r="M50" s="9">
        <v>74</v>
      </c>
      <c r="N50" s="14">
        <f>SUM(Tabela25689[[#This Row],[JAN]:[DEZ]])</f>
        <v>1014</v>
      </c>
      <c r="O50" s="63">
        <f>Tabela25689[[#This Row],[2019]]/Tabela25689[[#Totals],[2019]]</f>
        <v>2.3796113770768797E-2</v>
      </c>
    </row>
    <row r="51" spans="1:15" x14ac:dyDescent="0.2">
      <c r="A51" s="81" t="s">
        <v>230</v>
      </c>
      <c r="B51" s="9">
        <v>21</v>
      </c>
      <c r="C51" s="9">
        <v>15</v>
      </c>
      <c r="D51" s="9">
        <v>10</v>
      </c>
      <c r="E51" s="9">
        <v>15</v>
      </c>
      <c r="F51" s="9">
        <v>15</v>
      </c>
      <c r="G51" s="9">
        <v>17</v>
      </c>
      <c r="H51" s="9">
        <v>15</v>
      </c>
      <c r="I51" s="9">
        <v>18</v>
      </c>
      <c r="J51" s="9">
        <v>23</v>
      </c>
      <c r="K51" s="9">
        <v>17</v>
      </c>
      <c r="L51" s="9">
        <v>14</v>
      </c>
      <c r="M51" s="9">
        <v>14</v>
      </c>
      <c r="N51" s="14">
        <f>SUM(Tabela25689[[#This Row],[JAN]:[DEZ]])</f>
        <v>194</v>
      </c>
      <c r="O51" s="63">
        <f>Tabela25689[[#This Row],[2019]]/Tabela25689[[#Totals],[2019]]</f>
        <v>4.5527081573265744E-3</v>
      </c>
    </row>
    <row r="52" spans="1:15" x14ac:dyDescent="0.2">
      <c r="A52" s="82" t="s">
        <v>231</v>
      </c>
      <c r="B52" s="9">
        <v>7</v>
      </c>
      <c r="C52" s="9">
        <v>7</v>
      </c>
      <c r="D52" s="9">
        <v>4</v>
      </c>
      <c r="E52" s="9">
        <v>9</v>
      </c>
      <c r="F52" s="9">
        <v>6</v>
      </c>
      <c r="G52" s="9">
        <v>5</v>
      </c>
      <c r="H52" s="9">
        <v>3</v>
      </c>
      <c r="I52" s="9">
        <v>4</v>
      </c>
      <c r="J52" s="9">
        <v>4</v>
      </c>
      <c r="K52" s="9">
        <v>2</v>
      </c>
      <c r="L52" s="9">
        <v>4</v>
      </c>
      <c r="M52" s="9">
        <v>2</v>
      </c>
      <c r="N52" s="14">
        <f>SUM(Tabela25689[[#This Row],[JAN]:[DEZ]])</f>
        <v>57</v>
      </c>
      <c r="O52" s="63">
        <f>Tabela25689[[#This Row],[2019]]/Tabela25689[[#Totals],[2019]]</f>
        <v>1.3376513658124472E-3</v>
      </c>
    </row>
    <row r="53" spans="1:15" x14ac:dyDescent="0.2">
      <c r="A53" s="118"/>
      <c r="B53" s="119">
        <f>SUBTOTAL(109,Tabela25689[JAN])</f>
        <v>3570</v>
      </c>
      <c r="C53" s="119">
        <f>SUBTOTAL(109,Tabela25689[FEV])</f>
        <v>3181</v>
      </c>
      <c r="D53" s="119">
        <f>SUBTOTAL(109,Tabela25689[MAR])</f>
        <v>3629</v>
      </c>
      <c r="E53" s="119">
        <f>SUBTOTAL(109,Tabela25689[ABR])</f>
        <v>3638</v>
      </c>
      <c r="F53" s="119">
        <f>SUBTOTAL(109,Tabela25689[MAI])</f>
        <v>3739</v>
      </c>
      <c r="G53" s="119">
        <f>SUBTOTAL(109,Tabela25689[JUN])</f>
        <v>3586</v>
      </c>
      <c r="H53" s="119">
        <f>SUBTOTAL(109,Tabela25689[JUL])</f>
        <v>3568</v>
      </c>
      <c r="I53" s="119">
        <f>SUBTOTAL(109,Tabela25689[AGO])</f>
        <v>3440</v>
      </c>
      <c r="J53" s="119">
        <f>SUBTOTAL(109,Tabela25689[SET])</f>
        <v>3403</v>
      </c>
      <c r="K53" s="119">
        <f>SUBTOTAL(109,Tabela25689[OUT])</f>
        <v>3598</v>
      </c>
      <c r="L53" s="119">
        <f>SUBTOTAL(109,Tabela25689[NOV])</f>
        <v>3565</v>
      </c>
      <c r="M53" s="119">
        <f>SUBTOTAL(109,Tabela25689[DEZ])</f>
        <v>3695</v>
      </c>
      <c r="N53" s="119">
        <f>SUBTOTAL(109,Tabela25689[2019])</f>
        <v>42612</v>
      </c>
      <c r="O53" s="118"/>
    </row>
    <row r="55" spans="1:15" ht="16.5" thickBot="1" x14ac:dyDescent="0.25">
      <c r="A55" s="161" t="s">
        <v>249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</row>
    <row r="56" spans="1:15" ht="12" thickTop="1" x14ac:dyDescent="0.2">
      <c r="A56" s="1" t="s">
        <v>206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241</v>
      </c>
      <c r="O56" s="1" t="s">
        <v>244</v>
      </c>
    </row>
    <row r="57" spans="1:15" x14ac:dyDescent="0.2">
      <c r="A57" s="81" t="s">
        <v>232</v>
      </c>
      <c r="B57" s="9">
        <v>1140</v>
      </c>
      <c r="C57" s="9">
        <v>1141</v>
      </c>
      <c r="D57" s="9">
        <v>1392</v>
      </c>
      <c r="E57" s="9">
        <v>1403</v>
      </c>
      <c r="F57" s="9">
        <v>1537</v>
      </c>
      <c r="G57" s="9">
        <v>1360</v>
      </c>
      <c r="H57" s="9">
        <v>1369</v>
      </c>
      <c r="I57" s="9">
        <v>1321</v>
      </c>
      <c r="J57" s="9">
        <v>1280</v>
      </c>
      <c r="K57" s="9">
        <v>1365</v>
      </c>
      <c r="L57" s="9">
        <v>1369</v>
      </c>
      <c r="M57" s="9">
        <v>1438</v>
      </c>
      <c r="N57" s="14">
        <f>SUM(Tabela2568910[[#This Row],[JAN]:[DEZ]])</f>
        <v>16115</v>
      </c>
      <c r="O57" s="63">
        <f>Tabela2568910[[#This Row],[2019]]/Tabela2568910[[#Totals],[2019]]</f>
        <v>0.37817985543978222</v>
      </c>
    </row>
    <row r="58" spans="1:15" x14ac:dyDescent="0.2">
      <c r="A58" s="81" t="s">
        <v>233</v>
      </c>
      <c r="B58" s="9">
        <v>1208</v>
      </c>
      <c r="C58" s="9">
        <v>1031</v>
      </c>
      <c r="D58" s="9">
        <v>1161</v>
      </c>
      <c r="E58" s="9">
        <v>1196</v>
      </c>
      <c r="F58" s="9">
        <v>1172</v>
      </c>
      <c r="G58" s="9">
        <v>1181</v>
      </c>
      <c r="H58" s="9">
        <v>1182</v>
      </c>
      <c r="I58" s="9">
        <v>1075</v>
      </c>
      <c r="J58" s="9">
        <v>1105</v>
      </c>
      <c r="K58" s="9">
        <v>1104</v>
      </c>
      <c r="L58" s="9">
        <v>1080</v>
      </c>
      <c r="M58" s="9">
        <v>1113</v>
      </c>
      <c r="N58" s="14">
        <f>SUM(Tabela2568910[[#This Row],[JAN]:[DEZ]])</f>
        <v>13608</v>
      </c>
      <c r="O58" s="63">
        <f>Tabela2568910[[#This Row],[2019]]/Tabela2568910[[#Totals],[2019]]</f>
        <v>0.31934666291185582</v>
      </c>
    </row>
    <row r="59" spans="1:15" x14ac:dyDescent="0.2">
      <c r="A59" s="81" t="s">
        <v>234</v>
      </c>
      <c r="B59" s="9">
        <v>957</v>
      </c>
      <c r="C59" s="9">
        <v>829</v>
      </c>
      <c r="D59" s="9">
        <v>893</v>
      </c>
      <c r="E59" s="9">
        <v>881</v>
      </c>
      <c r="F59" s="9">
        <v>881</v>
      </c>
      <c r="G59" s="9">
        <v>819</v>
      </c>
      <c r="H59" s="9">
        <v>839</v>
      </c>
      <c r="I59" s="9">
        <v>863</v>
      </c>
      <c r="J59" s="9">
        <v>831</v>
      </c>
      <c r="K59" s="9">
        <v>933</v>
      </c>
      <c r="L59" s="9">
        <v>902</v>
      </c>
      <c r="M59" s="9">
        <v>915</v>
      </c>
      <c r="N59" s="14">
        <f>SUM(Tabela2568910[[#This Row],[JAN]:[DEZ]])</f>
        <v>10543</v>
      </c>
      <c r="O59" s="63">
        <f>Tabela2568910[[#This Row],[2019]]/Tabela2568910[[#Totals],[2019]]</f>
        <v>0.24741856753966018</v>
      </c>
    </row>
    <row r="60" spans="1:15" x14ac:dyDescent="0.2">
      <c r="A60" s="81" t="s">
        <v>235</v>
      </c>
      <c r="B60" s="9">
        <v>265</v>
      </c>
      <c r="C60" s="9">
        <v>180</v>
      </c>
      <c r="D60" s="9">
        <v>183</v>
      </c>
      <c r="E60" s="9">
        <v>158</v>
      </c>
      <c r="F60" s="9">
        <v>149</v>
      </c>
      <c r="G60" s="9">
        <v>226</v>
      </c>
      <c r="H60" s="9">
        <v>178</v>
      </c>
      <c r="I60" s="9">
        <v>181</v>
      </c>
      <c r="J60" s="9">
        <v>187</v>
      </c>
      <c r="K60" s="9">
        <v>196</v>
      </c>
      <c r="L60" s="9">
        <v>214</v>
      </c>
      <c r="M60" s="9">
        <v>229</v>
      </c>
      <c r="N60" s="14">
        <f>SUM(Tabela2568910[[#This Row],[JAN]:[DEZ]])</f>
        <v>2346</v>
      </c>
      <c r="O60" s="63">
        <f>Tabela2568910[[#This Row],[2019]]/Tabela2568910[[#Totals],[2019]]</f>
        <v>5.5054914108701773E-2</v>
      </c>
    </row>
    <row r="61" spans="1:15" x14ac:dyDescent="0.2">
      <c r="A61" s="118"/>
      <c r="B61" s="119">
        <f>SUBTOTAL(109,Tabela2568910[JAN])</f>
        <v>3570</v>
      </c>
      <c r="C61" s="119">
        <f>SUBTOTAL(109,Tabela2568910[FEV])</f>
        <v>3181</v>
      </c>
      <c r="D61" s="119">
        <f>SUBTOTAL(109,Tabela2568910[MAR])</f>
        <v>3629</v>
      </c>
      <c r="E61" s="119">
        <f>SUBTOTAL(109,Tabela2568910[ABR])</f>
        <v>3638</v>
      </c>
      <c r="F61" s="119">
        <f>SUBTOTAL(109,Tabela2568910[MAI])</f>
        <v>3739</v>
      </c>
      <c r="G61" s="119">
        <f>SUBTOTAL(109,Tabela2568910[JUN])</f>
        <v>3586</v>
      </c>
      <c r="H61" s="119">
        <f>SUBTOTAL(109,Tabela2568910[JUL])</f>
        <v>3568</v>
      </c>
      <c r="I61" s="119">
        <f>SUBTOTAL(109,Tabela2568910[AGO])</f>
        <v>3440</v>
      </c>
      <c r="J61" s="119">
        <f>SUBTOTAL(109,Tabela2568910[SET])</f>
        <v>3403</v>
      </c>
      <c r="K61" s="119">
        <f>SUBTOTAL(109,Tabela2568910[OUT])</f>
        <v>3598</v>
      </c>
      <c r="L61" s="119">
        <f>SUBTOTAL(109,Tabela2568910[NOV])</f>
        <v>3565</v>
      </c>
      <c r="M61" s="119">
        <f>SUBTOTAL(109,Tabela2568910[DEZ])</f>
        <v>3695</v>
      </c>
      <c r="N61" s="119">
        <f>SUBTOTAL(109,Tabela2568910[2019])</f>
        <v>42612</v>
      </c>
      <c r="O61" s="118"/>
    </row>
  </sheetData>
  <sheetProtection autoFilter="0"/>
  <mergeCells count="7">
    <mergeCell ref="A40:O40"/>
    <mergeCell ref="A55:O55"/>
    <mergeCell ref="A2:N2"/>
    <mergeCell ref="A6:O6"/>
    <mergeCell ref="A16:N16"/>
    <mergeCell ref="A26:O26"/>
    <mergeCell ref="A34:O34"/>
  </mergeCells>
  <pageMargins left="0.511811024" right="0.511811024" top="0.78740157499999996" bottom="0.78740157499999996" header="0.31496062000000002" footer="0.31496062000000002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5" tint="-0.499984740745262"/>
  </sheetPr>
  <dimension ref="A1:O70"/>
  <sheetViews>
    <sheetView zoomScale="80" zoomScaleNormal="80" workbookViewId="0">
      <selection sqref="A1:O1"/>
    </sheetView>
  </sheetViews>
  <sheetFormatPr defaultRowHeight="11.25" x14ac:dyDescent="0.2"/>
  <cols>
    <col min="1" max="1" width="35.28515625" style="1" bestFit="1" customWidth="1"/>
    <col min="2" max="13" width="9.140625" style="1"/>
    <col min="14" max="15" width="9.140625" style="2"/>
    <col min="16" max="16384" width="9.140625" style="1"/>
  </cols>
  <sheetData>
    <row r="1" spans="1:15" ht="18.75" x14ac:dyDescent="0.3">
      <c r="A1" s="154" t="s">
        <v>250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</row>
    <row r="2" spans="1:15" ht="15.75" x14ac:dyDescent="0.25">
      <c r="A2" s="177" t="s">
        <v>251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9"/>
    </row>
    <row r="3" spans="1:15" x14ac:dyDescent="0.2">
      <c r="A3" s="6" t="s">
        <v>35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2" t="s">
        <v>241</v>
      </c>
      <c r="O3" s="2" t="s">
        <v>252</v>
      </c>
    </row>
    <row r="4" spans="1:15" x14ac:dyDescent="0.2">
      <c r="A4" s="1" t="s">
        <v>140</v>
      </c>
      <c r="B4" s="12">
        <v>17</v>
      </c>
      <c r="C4" s="12">
        <v>20</v>
      </c>
      <c r="D4" s="12">
        <v>14</v>
      </c>
      <c r="E4" s="12">
        <v>17</v>
      </c>
      <c r="F4" s="12">
        <v>19</v>
      </c>
      <c r="G4" s="12">
        <v>13</v>
      </c>
      <c r="H4" s="12">
        <v>19</v>
      </c>
      <c r="I4" s="12">
        <v>16</v>
      </c>
      <c r="J4" s="12">
        <v>24</v>
      </c>
      <c r="K4" s="12">
        <v>34</v>
      </c>
      <c r="L4" s="12">
        <v>14</v>
      </c>
      <c r="M4" s="12">
        <v>17</v>
      </c>
      <c r="N4" s="11">
        <f>SUM(ACR[[#This Row],[JAN]:[DEZ]])</f>
        <v>224</v>
      </c>
      <c r="O4" s="63">
        <f>ACR[[#This Row],[2019]]/ACR[[#Totals],[2019]]</f>
        <v>4.0875912408759124E-2</v>
      </c>
    </row>
    <row r="5" spans="1:15" x14ac:dyDescent="0.2">
      <c r="A5" s="1" t="s">
        <v>141</v>
      </c>
      <c r="B5" s="12">
        <v>63</v>
      </c>
      <c r="C5" s="12">
        <v>68</v>
      </c>
      <c r="D5" s="12">
        <v>59</v>
      </c>
      <c r="E5" s="12">
        <v>74</v>
      </c>
      <c r="F5" s="12">
        <v>72</v>
      </c>
      <c r="G5" s="12">
        <v>54</v>
      </c>
      <c r="H5" s="12">
        <v>67</v>
      </c>
      <c r="I5" s="12">
        <v>79</v>
      </c>
      <c r="J5" s="12">
        <v>56</v>
      </c>
      <c r="K5" s="12">
        <v>75</v>
      </c>
      <c r="L5" s="12">
        <v>79</v>
      </c>
      <c r="M5" s="12">
        <v>67</v>
      </c>
      <c r="N5" s="11">
        <f>SUM(ACR[[#This Row],[JAN]:[DEZ]])</f>
        <v>813</v>
      </c>
      <c r="O5" s="63">
        <f>ACR[[#This Row],[2019]]/ACR[[#Totals],[2019]]</f>
        <v>0.14835766423357663</v>
      </c>
    </row>
    <row r="6" spans="1:15" x14ac:dyDescent="0.2">
      <c r="A6" s="1" t="s">
        <v>142</v>
      </c>
      <c r="B6" s="12">
        <v>9</v>
      </c>
      <c r="C6" s="12">
        <v>9</v>
      </c>
      <c r="D6" s="12">
        <v>4</v>
      </c>
      <c r="E6" s="12">
        <v>3</v>
      </c>
      <c r="F6" s="12">
        <v>10</v>
      </c>
      <c r="G6" s="12">
        <v>5</v>
      </c>
      <c r="H6" s="12">
        <v>7</v>
      </c>
      <c r="I6" s="12">
        <v>7</v>
      </c>
      <c r="J6" s="12">
        <v>9</v>
      </c>
      <c r="K6" s="12">
        <v>4</v>
      </c>
      <c r="L6" s="12">
        <v>8</v>
      </c>
      <c r="M6" s="12">
        <v>8</v>
      </c>
      <c r="N6" s="11">
        <f>SUM(ACR[[#This Row],[JAN]:[DEZ]])</f>
        <v>83</v>
      </c>
      <c r="O6" s="63">
        <f>ACR[[#This Row],[2019]]/ACR[[#Totals],[2019]]</f>
        <v>1.5145985401459854E-2</v>
      </c>
    </row>
    <row r="7" spans="1:15" x14ac:dyDescent="0.2">
      <c r="A7" s="1" t="s">
        <v>143</v>
      </c>
      <c r="B7" s="12">
        <v>94</v>
      </c>
      <c r="C7" s="12">
        <v>48</v>
      </c>
      <c r="D7" s="12">
        <v>71</v>
      </c>
      <c r="E7" s="12">
        <v>79</v>
      </c>
      <c r="F7" s="12">
        <v>84</v>
      </c>
      <c r="G7" s="12">
        <v>70</v>
      </c>
      <c r="H7" s="12">
        <v>62</v>
      </c>
      <c r="I7" s="12">
        <v>60</v>
      </c>
      <c r="J7" s="12">
        <v>69</v>
      </c>
      <c r="K7" s="12">
        <v>91</v>
      </c>
      <c r="L7" s="12">
        <v>87</v>
      </c>
      <c r="M7" s="12">
        <v>60</v>
      </c>
      <c r="N7" s="11">
        <f>SUM(ACR[[#This Row],[JAN]:[DEZ]])</f>
        <v>875</v>
      </c>
      <c r="O7" s="63">
        <f>ACR[[#This Row],[2019]]/ACR[[#Totals],[2019]]</f>
        <v>0.15967153284671534</v>
      </c>
    </row>
    <row r="8" spans="1:15" x14ac:dyDescent="0.2">
      <c r="A8" s="1" t="s">
        <v>151</v>
      </c>
      <c r="B8" s="12">
        <v>33</v>
      </c>
      <c r="C8" s="12">
        <v>38</v>
      </c>
      <c r="D8" s="12">
        <v>24</v>
      </c>
      <c r="E8" s="12">
        <v>32</v>
      </c>
      <c r="F8" s="12">
        <v>38</v>
      </c>
      <c r="G8" s="12">
        <v>31</v>
      </c>
      <c r="H8" s="12">
        <v>31</v>
      </c>
      <c r="I8" s="12">
        <v>32</v>
      </c>
      <c r="J8" s="12">
        <v>39</v>
      </c>
      <c r="K8" s="12">
        <v>40</v>
      </c>
      <c r="L8" s="12">
        <v>34</v>
      </c>
      <c r="M8" s="12">
        <v>31</v>
      </c>
      <c r="N8" s="11">
        <f>SUM(ACR[[#This Row],[JAN]:[DEZ]])</f>
        <v>403</v>
      </c>
      <c r="O8" s="63">
        <f>ACR[[#This Row],[2019]]/ACR[[#Totals],[2019]]</f>
        <v>7.3540145985401456E-2</v>
      </c>
    </row>
    <row r="9" spans="1:15" x14ac:dyDescent="0.2">
      <c r="A9" s="1" t="s">
        <v>154</v>
      </c>
      <c r="B9" s="12">
        <v>208</v>
      </c>
      <c r="C9" s="12">
        <v>195</v>
      </c>
      <c r="D9" s="12">
        <v>268</v>
      </c>
      <c r="E9" s="12">
        <v>280</v>
      </c>
      <c r="F9" s="12">
        <v>260</v>
      </c>
      <c r="G9" s="12">
        <v>248</v>
      </c>
      <c r="H9" s="12">
        <v>286</v>
      </c>
      <c r="I9" s="12">
        <v>289</v>
      </c>
      <c r="J9" s="12">
        <v>270</v>
      </c>
      <c r="K9" s="12">
        <v>316</v>
      </c>
      <c r="L9" s="12">
        <v>235</v>
      </c>
      <c r="M9" s="12">
        <v>222</v>
      </c>
      <c r="N9" s="11">
        <f>SUM(ACR[[#This Row],[JAN]:[DEZ]])</f>
        <v>3077</v>
      </c>
      <c r="O9" s="63">
        <f>ACR[[#This Row],[2019]]/ACR[[#Totals],[2019]]</f>
        <v>0.56149635036496348</v>
      </c>
    </row>
    <row r="10" spans="1:15" x14ac:dyDescent="0.2">
      <c r="A10" s="1" t="s">
        <v>153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2</v>
      </c>
      <c r="I10" s="12">
        <v>0</v>
      </c>
      <c r="J10" s="12">
        <v>2</v>
      </c>
      <c r="K10" s="12">
        <v>1</v>
      </c>
      <c r="L10" s="12">
        <v>0</v>
      </c>
      <c r="M10" s="12">
        <v>0</v>
      </c>
      <c r="N10" s="11">
        <f>SUM(ACR[[#This Row],[JAN]:[DEZ]])</f>
        <v>5</v>
      </c>
      <c r="O10" s="63">
        <f>ACR[[#This Row],[2019]]/ACR[[#Totals],[2019]]</f>
        <v>9.1240875912408756E-4</v>
      </c>
    </row>
    <row r="11" spans="1:15" x14ac:dyDescent="0.2">
      <c r="A11" s="142"/>
      <c r="B11" s="119">
        <f>SUBTOTAL(109,ACR[JAN])</f>
        <v>424</v>
      </c>
      <c r="C11" s="119">
        <f>SUBTOTAL(109,ACR[FEV])</f>
        <v>378</v>
      </c>
      <c r="D11" s="119">
        <f>SUBTOTAL(109,ACR[MAR])</f>
        <v>440</v>
      </c>
      <c r="E11" s="119">
        <f>SUBTOTAL(109,ACR[ABR])</f>
        <v>485</v>
      </c>
      <c r="F11" s="119">
        <f>SUBTOTAL(109,ACR[MAI])</f>
        <v>483</v>
      </c>
      <c r="G11" s="119">
        <f>SUBTOTAL(109,ACR[JUN])</f>
        <v>421</v>
      </c>
      <c r="H11" s="119">
        <f>SUBTOTAL(109,ACR[JUL])</f>
        <v>474</v>
      </c>
      <c r="I11" s="119">
        <f>SUBTOTAL(109,ACR[AGO])</f>
        <v>483</v>
      </c>
      <c r="J11" s="119">
        <f>SUBTOTAL(109,ACR[SET])</f>
        <v>469</v>
      </c>
      <c r="K11" s="119">
        <f>SUBTOTAL(109,ACR[OUT])</f>
        <v>561</v>
      </c>
      <c r="L11" s="119">
        <f>SUBTOTAL(109,ACR[NOV])</f>
        <v>457</v>
      </c>
      <c r="M11" s="119">
        <f>SUBTOTAL(109,ACR[DEZ])</f>
        <v>405</v>
      </c>
      <c r="N11" s="120">
        <f>SUBTOTAL(109,ACR[2019])</f>
        <v>5480</v>
      </c>
      <c r="O11" s="143"/>
    </row>
    <row r="12" spans="1:15" ht="3.75" customHeight="1" x14ac:dyDescent="0.2">
      <c r="A12" s="77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14"/>
      <c r="O12" s="84"/>
    </row>
    <row r="14" spans="1:15" ht="18.75" x14ac:dyDescent="0.3">
      <c r="A14" s="154" t="s">
        <v>253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6"/>
    </row>
    <row r="15" spans="1:15" ht="15.75" x14ac:dyDescent="0.25">
      <c r="A15" s="171" t="s">
        <v>254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3"/>
    </row>
    <row r="16" spans="1:15" x14ac:dyDescent="0.2">
      <c r="A16" s="6" t="s">
        <v>35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2" t="s">
        <v>241</v>
      </c>
      <c r="O16" s="31" t="s">
        <v>252</v>
      </c>
    </row>
    <row r="17" spans="1:15" x14ac:dyDescent="0.2">
      <c r="A17" s="6" t="s">
        <v>36</v>
      </c>
      <c r="B17" s="12">
        <v>17</v>
      </c>
      <c r="C17" s="12">
        <v>20</v>
      </c>
      <c r="D17" s="12">
        <v>16</v>
      </c>
      <c r="E17" s="12">
        <v>18</v>
      </c>
      <c r="F17" s="12">
        <v>19</v>
      </c>
      <c r="G17" s="12">
        <v>14</v>
      </c>
      <c r="H17" s="12">
        <v>20</v>
      </c>
      <c r="I17" s="12">
        <v>16</v>
      </c>
      <c r="J17" s="12">
        <v>24</v>
      </c>
      <c r="K17" s="12">
        <v>35</v>
      </c>
      <c r="L17" s="12">
        <v>17</v>
      </c>
      <c r="M17" s="12">
        <v>19</v>
      </c>
      <c r="N17" s="11">
        <f>SUM(PCR[[#This Row],[JAN]:[DEZ]])</f>
        <v>235</v>
      </c>
      <c r="O17" s="32">
        <f>PCR[[#This Row],[2019]]/PCR[[#Totals],[2019]]</f>
        <v>4.1534110993283843E-2</v>
      </c>
    </row>
    <row r="18" spans="1:15" x14ac:dyDescent="0.2">
      <c r="A18" s="6" t="s">
        <v>37</v>
      </c>
      <c r="B18" s="12">
        <v>67</v>
      </c>
      <c r="C18" s="12">
        <v>71</v>
      </c>
      <c r="D18" s="12">
        <v>60</v>
      </c>
      <c r="E18" s="12">
        <v>80</v>
      </c>
      <c r="F18" s="12">
        <v>74</v>
      </c>
      <c r="G18" s="12">
        <v>57</v>
      </c>
      <c r="H18" s="12">
        <v>68</v>
      </c>
      <c r="I18" s="12">
        <v>80</v>
      </c>
      <c r="J18" s="12">
        <v>56</v>
      </c>
      <c r="K18" s="12">
        <v>76</v>
      </c>
      <c r="L18" s="12">
        <v>85</v>
      </c>
      <c r="M18" s="12">
        <v>70</v>
      </c>
      <c r="N18" s="11">
        <f>SUM(PCR[[#This Row],[JAN]:[DEZ]])</f>
        <v>844</v>
      </c>
      <c r="O18" s="32">
        <f>PCR[[#This Row],[2019]]/PCR[[#Totals],[2019]]</f>
        <v>0.14916931778013431</v>
      </c>
    </row>
    <row r="19" spans="1:15" x14ac:dyDescent="0.2">
      <c r="A19" s="6" t="s">
        <v>38</v>
      </c>
      <c r="B19" s="12">
        <v>9</v>
      </c>
      <c r="C19" s="12">
        <v>9</v>
      </c>
      <c r="D19" s="12">
        <v>4</v>
      </c>
      <c r="E19" s="12">
        <v>3</v>
      </c>
      <c r="F19" s="12">
        <v>10</v>
      </c>
      <c r="G19" s="12">
        <v>5</v>
      </c>
      <c r="H19" s="12">
        <v>7</v>
      </c>
      <c r="I19" s="12">
        <v>7</v>
      </c>
      <c r="J19" s="12">
        <v>9</v>
      </c>
      <c r="K19" s="12">
        <v>4</v>
      </c>
      <c r="L19" s="12">
        <v>10</v>
      </c>
      <c r="M19" s="12">
        <v>11</v>
      </c>
      <c r="N19" s="11">
        <f>SUM(PCR[[#This Row],[JAN]:[DEZ]])</f>
        <v>88</v>
      </c>
      <c r="O19" s="32">
        <f>PCR[[#This Row],[2019]]/PCR[[#Totals],[2019]]</f>
        <v>1.5553199010250972E-2</v>
      </c>
    </row>
    <row r="20" spans="1:15" x14ac:dyDescent="0.2">
      <c r="A20" s="6" t="s">
        <v>39</v>
      </c>
      <c r="B20" s="12">
        <v>94</v>
      </c>
      <c r="C20" s="12">
        <v>49</v>
      </c>
      <c r="D20" s="12">
        <v>72</v>
      </c>
      <c r="E20" s="12">
        <v>79</v>
      </c>
      <c r="F20" s="12">
        <v>85</v>
      </c>
      <c r="G20" s="12">
        <v>72</v>
      </c>
      <c r="H20" s="12">
        <v>64</v>
      </c>
      <c r="I20" s="12">
        <v>63</v>
      </c>
      <c r="J20" s="12">
        <v>69</v>
      </c>
      <c r="K20" s="12">
        <v>92</v>
      </c>
      <c r="L20" s="12">
        <v>87</v>
      </c>
      <c r="M20" s="12">
        <v>60</v>
      </c>
      <c r="N20" s="11">
        <f>SUM(PCR[[#This Row],[JAN]:[DEZ]])</f>
        <v>886</v>
      </c>
      <c r="O20" s="32">
        <f>PCR[[#This Row],[2019]]/PCR[[#Totals],[2019]]</f>
        <v>0.15659243548957227</v>
      </c>
    </row>
    <row r="21" spans="1:15" x14ac:dyDescent="0.2">
      <c r="A21" s="6" t="s">
        <v>40</v>
      </c>
      <c r="B21" s="12">
        <v>33</v>
      </c>
      <c r="C21" s="12">
        <v>39</v>
      </c>
      <c r="D21" s="12">
        <v>24</v>
      </c>
      <c r="E21" s="12">
        <v>32</v>
      </c>
      <c r="F21" s="12">
        <v>38</v>
      </c>
      <c r="G21" s="12">
        <v>31</v>
      </c>
      <c r="H21" s="12">
        <v>31</v>
      </c>
      <c r="I21" s="12">
        <v>32</v>
      </c>
      <c r="J21" s="12">
        <v>39</v>
      </c>
      <c r="K21" s="12">
        <v>40</v>
      </c>
      <c r="L21" s="12">
        <v>34</v>
      </c>
      <c r="M21" s="12">
        <v>31</v>
      </c>
      <c r="N21" s="11">
        <f>SUM(PCR[[#This Row],[JAN]:[DEZ]])</f>
        <v>404</v>
      </c>
      <c r="O21" s="32">
        <f>PCR[[#This Row],[2019]]/PCR[[#Totals],[2019]]</f>
        <v>7.1403322728879462E-2</v>
      </c>
    </row>
    <row r="22" spans="1:15" x14ac:dyDescent="0.2">
      <c r="A22" s="6" t="s">
        <v>41</v>
      </c>
      <c r="B22" s="12">
        <v>213</v>
      </c>
      <c r="C22" s="12">
        <v>200</v>
      </c>
      <c r="D22" s="12">
        <v>278</v>
      </c>
      <c r="E22" s="12">
        <v>290</v>
      </c>
      <c r="F22" s="12">
        <v>272</v>
      </c>
      <c r="G22" s="12">
        <v>255</v>
      </c>
      <c r="H22" s="12">
        <v>294</v>
      </c>
      <c r="I22" s="12">
        <v>303</v>
      </c>
      <c r="J22" s="12">
        <v>283</v>
      </c>
      <c r="K22" s="12">
        <v>325</v>
      </c>
      <c r="L22" s="12">
        <v>243</v>
      </c>
      <c r="M22" s="12">
        <v>240</v>
      </c>
      <c r="N22" s="11">
        <f>SUM(PCR[[#This Row],[JAN]:[DEZ]])</f>
        <v>3196</v>
      </c>
      <c r="O22" s="32">
        <f>PCR[[#This Row],[2019]]/PCR[[#Totals],[2019]]</f>
        <v>0.56486390950866028</v>
      </c>
    </row>
    <row r="23" spans="1:15" x14ac:dyDescent="0.2">
      <c r="A23" s="6" t="s">
        <v>42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2</v>
      </c>
      <c r="I23" s="12">
        <v>0</v>
      </c>
      <c r="J23" s="12">
        <v>2</v>
      </c>
      <c r="K23" s="12">
        <v>1</v>
      </c>
      <c r="L23" s="12">
        <v>0</v>
      </c>
      <c r="M23" s="12">
        <v>0</v>
      </c>
      <c r="N23" s="11">
        <f>SUM(PCR[[#This Row],[JAN]:[DEZ]])</f>
        <v>5</v>
      </c>
      <c r="O23" s="32">
        <f>PCR[[#This Row],[2019]]/PCR[[#Totals],[2019]]</f>
        <v>8.8370448921880524E-4</v>
      </c>
    </row>
    <row r="24" spans="1:15" x14ac:dyDescent="0.2">
      <c r="A24" s="142"/>
      <c r="B24" s="144">
        <f>SUM(PCR[JAN])</f>
        <v>433</v>
      </c>
      <c r="C24" s="144">
        <f>SUM(PCR[FEV])</f>
        <v>388</v>
      </c>
      <c r="D24" s="144">
        <f>SUM(PCR[MAR])</f>
        <v>454</v>
      </c>
      <c r="E24" s="144">
        <f>SUM(PCR[ABR])</f>
        <v>502</v>
      </c>
      <c r="F24" s="144">
        <f>SUM(PCR[MAI])</f>
        <v>498</v>
      </c>
      <c r="G24" s="144">
        <f>SUM(PCR[JUN])</f>
        <v>434</v>
      </c>
      <c r="H24" s="144">
        <f>SUM(PCR[JUL])</f>
        <v>486</v>
      </c>
      <c r="I24" s="144">
        <f>SUM(PCR[AGO])</f>
        <v>501</v>
      </c>
      <c r="J24" s="144">
        <f>SUM(PCR[SET])</f>
        <v>482</v>
      </c>
      <c r="K24" s="144">
        <f>SUM(PCR[OUT])</f>
        <v>573</v>
      </c>
      <c r="L24" s="144">
        <f>SUM(PCR[NOV])</f>
        <v>476</v>
      </c>
      <c r="M24" s="144">
        <f>SUM(PCR[DEZ])</f>
        <v>431</v>
      </c>
      <c r="N24" s="145">
        <f>SUM(PCR[2019])</f>
        <v>5658</v>
      </c>
      <c r="O24" s="146">
        <f>SUM(PCR[2019 (%)])</f>
        <v>0.99999999999999989</v>
      </c>
    </row>
    <row r="25" spans="1:15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</row>
    <row r="26" spans="1:15" ht="15.75" x14ac:dyDescent="0.25">
      <c r="A26" s="165" t="s">
        <v>255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7"/>
    </row>
    <row r="27" spans="1:15" x14ac:dyDescent="0.2">
      <c r="A27" s="6" t="s">
        <v>35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2" t="s">
        <v>241</v>
      </c>
      <c r="O27" s="2" t="s">
        <v>252</v>
      </c>
    </row>
    <row r="28" spans="1:15" x14ac:dyDescent="0.2">
      <c r="A28" s="6" t="s">
        <v>140</v>
      </c>
      <c r="B28" s="12">
        <v>12</v>
      </c>
      <c r="C28" s="12">
        <v>16</v>
      </c>
      <c r="D28" s="12">
        <v>11</v>
      </c>
      <c r="E28" s="12">
        <v>15</v>
      </c>
      <c r="F28" s="12">
        <v>19</v>
      </c>
      <c r="G28" s="12">
        <v>11</v>
      </c>
      <c r="H28" s="12">
        <v>18</v>
      </c>
      <c r="I28" s="12">
        <v>16</v>
      </c>
      <c r="J28" s="12">
        <v>21</v>
      </c>
      <c r="K28" s="12">
        <v>27</v>
      </c>
      <c r="L28" s="12">
        <v>13</v>
      </c>
      <c r="M28" s="12">
        <v>11</v>
      </c>
      <c r="N28" s="11">
        <f>SUM(ACER[[#This Row],[JAN]:[DEZ]])</f>
        <v>190</v>
      </c>
      <c r="O28" s="63">
        <f>ACER[[#This Row],[2019]]/ACER[[#Totals],[2019]]</f>
        <v>6.7784516589368529E-2</v>
      </c>
    </row>
    <row r="29" spans="1:15" x14ac:dyDescent="0.2">
      <c r="A29" s="6" t="s">
        <v>141</v>
      </c>
      <c r="B29" s="12">
        <v>35</v>
      </c>
      <c r="C29" s="12">
        <v>36</v>
      </c>
      <c r="D29" s="12">
        <v>30</v>
      </c>
      <c r="E29" s="12">
        <v>30</v>
      </c>
      <c r="F29" s="12">
        <v>33</v>
      </c>
      <c r="G29" s="12">
        <v>25</v>
      </c>
      <c r="H29" s="12">
        <v>35</v>
      </c>
      <c r="I29" s="12">
        <v>47</v>
      </c>
      <c r="J29" s="12">
        <v>31</v>
      </c>
      <c r="K29" s="12">
        <v>55</v>
      </c>
      <c r="L29" s="12">
        <v>50</v>
      </c>
      <c r="M29" s="12">
        <v>32</v>
      </c>
      <c r="N29" s="11">
        <f>SUM(ACER[[#This Row],[JAN]:[DEZ]])</f>
        <v>439</v>
      </c>
      <c r="O29" s="63">
        <f>ACER[[#This Row],[2019]]/ACER[[#Totals],[2019]]</f>
        <v>0.15661790938280415</v>
      </c>
    </row>
    <row r="30" spans="1:15" x14ac:dyDescent="0.2">
      <c r="A30" s="6" t="s">
        <v>142</v>
      </c>
      <c r="B30" s="12">
        <v>9</v>
      </c>
      <c r="C30" s="12">
        <v>9</v>
      </c>
      <c r="D30" s="12">
        <v>4</v>
      </c>
      <c r="E30" s="12">
        <v>3</v>
      </c>
      <c r="F30" s="12">
        <v>9</v>
      </c>
      <c r="G30" s="12">
        <v>5</v>
      </c>
      <c r="H30" s="12">
        <v>7</v>
      </c>
      <c r="I30" s="12">
        <v>7</v>
      </c>
      <c r="J30" s="12">
        <v>9</v>
      </c>
      <c r="K30" s="12">
        <v>4</v>
      </c>
      <c r="L30" s="12">
        <v>8</v>
      </c>
      <c r="M30" s="12">
        <v>7</v>
      </c>
      <c r="N30" s="11">
        <f>SUM(ACER[[#This Row],[JAN]:[DEZ]])</f>
        <v>81</v>
      </c>
      <c r="O30" s="63">
        <f>ACER[[#This Row],[2019]]/ACER[[#Totals],[2019]]</f>
        <v>2.8897609703888692E-2</v>
      </c>
    </row>
    <row r="31" spans="1:15" x14ac:dyDescent="0.2">
      <c r="A31" s="6" t="s">
        <v>143</v>
      </c>
      <c r="B31" s="12">
        <v>40</v>
      </c>
      <c r="C31" s="12">
        <v>20</v>
      </c>
      <c r="D31" s="12">
        <v>38</v>
      </c>
      <c r="E31" s="12">
        <v>29</v>
      </c>
      <c r="F31" s="12">
        <v>21</v>
      </c>
      <c r="G31" s="12">
        <v>32</v>
      </c>
      <c r="H31" s="12">
        <v>21</v>
      </c>
      <c r="I31" s="12">
        <v>29</v>
      </c>
      <c r="J31" s="12">
        <v>23</v>
      </c>
      <c r="K31" s="12">
        <v>40</v>
      </c>
      <c r="L31" s="12">
        <v>34</v>
      </c>
      <c r="M31" s="12">
        <v>32</v>
      </c>
      <c r="N31" s="11">
        <f>SUM(ACER[[#This Row],[JAN]:[DEZ]])</f>
        <v>359</v>
      </c>
      <c r="O31" s="63">
        <f>ACER[[#This Row],[2019]]/ACER[[#Totals],[2019]]</f>
        <v>0.1280770602925437</v>
      </c>
    </row>
    <row r="32" spans="1:15" x14ac:dyDescent="0.2">
      <c r="A32" s="6" t="s">
        <v>151</v>
      </c>
      <c r="B32" s="12">
        <v>18</v>
      </c>
      <c r="C32" s="12">
        <v>23</v>
      </c>
      <c r="D32" s="12">
        <v>4</v>
      </c>
      <c r="E32" s="12">
        <v>10</v>
      </c>
      <c r="F32" s="12">
        <v>9</v>
      </c>
      <c r="G32" s="12">
        <v>8</v>
      </c>
      <c r="H32" s="12">
        <v>7</v>
      </c>
      <c r="I32" s="12">
        <v>10</v>
      </c>
      <c r="J32" s="12">
        <v>9</v>
      </c>
      <c r="K32" s="12">
        <v>11</v>
      </c>
      <c r="L32" s="12">
        <v>11</v>
      </c>
      <c r="M32" s="12">
        <v>11</v>
      </c>
      <c r="N32" s="11">
        <f>SUM(ACER[[#This Row],[JAN]:[DEZ]])</f>
        <v>131</v>
      </c>
      <c r="O32" s="63">
        <f>ACER[[#This Row],[2019]]/ACER[[#Totals],[2019]]</f>
        <v>4.6735640385301459E-2</v>
      </c>
    </row>
    <row r="33" spans="1:15" x14ac:dyDescent="0.2">
      <c r="A33" s="6" t="s">
        <v>154</v>
      </c>
      <c r="B33" s="12">
        <v>125</v>
      </c>
      <c r="C33" s="12">
        <v>109</v>
      </c>
      <c r="D33" s="12">
        <v>135</v>
      </c>
      <c r="E33" s="12">
        <v>161</v>
      </c>
      <c r="F33" s="12">
        <v>133</v>
      </c>
      <c r="G33" s="12">
        <v>130</v>
      </c>
      <c r="H33" s="12">
        <v>170</v>
      </c>
      <c r="I33" s="12">
        <v>147</v>
      </c>
      <c r="J33" s="12">
        <v>148</v>
      </c>
      <c r="K33" s="12">
        <v>148</v>
      </c>
      <c r="L33" s="12">
        <v>99</v>
      </c>
      <c r="M33" s="12">
        <v>98</v>
      </c>
      <c r="N33" s="11">
        <f>SUM(ACER[[#This Row],[JAN]:[DEZ]])</f>
        <v>1603</v>
      </c>
      <c r="O33" s="63">
        <f>ACER[[#This Row],[2019]]/ACER[[#Totals],[2019]]</f>
        <v>0.57188726364609344</v>
      </c>
    </row>
    <row r="34" spans="1:15" x14ac:dyDescent="0.2">
      <c r="A34" s="6" t="s">
        <v>153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1">
        <f>SUM(ACER[[#This Row],[JAN]:[DEZ]])</f>
        <v>0</v>
      </c>
      <c r="O34" s="63">
        <f>ACER[[#This Row],[2019]]/ACER[[#Totals],[2019]]</f>
        <v>0</v>
      </c>
    </row>
    <row r="35" spans="1:15" x14ac:dyDescent="0.2">
      <c r="A35" s="142"/>
      <c r="B35" s="119">
        <f>SUBTOTAL(109,ACER[JAN])</f>
        <v>239</v>
      </c>
      <c r="C35" s="119">
        <f>SUBTOTAL(109,ACER[FEV])</f>
        <v>213</v>
      </c>
      <c r="D35" s="119">
        <f>SUBTOTAL(109,ACER[MAR])</f>
        <v>222</v>
      </c>
      <c r="E35" s="119">
        <f>SUBTOTAL(109,ACER[ABR])</f>
        <v>248</v>
      </c>
      <c r="F35" s="119">
        <f>SUBTOTAL(109,ACER[MAI])</f>
        <v>224</v>
      </c>
      <c r="G35" s="119">
        <f>SUBTOTAL(109,ACER[JUN])</f>
        <v>211</v>
      </c>
      <c r="H35" s="119">
        <f>SUBTOTAL(109,ACER[JUL])</f>
        <v>258</v>
      </c>
      <c r="I35" s="119">
        <f>SUBTOTAL(109,ACER[AGO])</f>
        <v>256</v>
      </c>
      <c r="J35" s="119">
        <f>SUBTOTAL(109,ACER[SET])</f>
        <v>241</v>
      </c>
      <c r="K35" s="119">
        <f>SUBTOTAL(109,ACER[OUT])</f>
        <v>285</v>
      </c>
      <c r="L35" s="119">
        <f>SUBTOTAL(109,ACER[NOV])</f>
        <v>215</v>
      </c>
      <c r="M35" s="119">
        <f>SUBTOTAL(109,ACER[DEZ])</f>
        <v>191</v>
      </c>
      <c r="N35" s="120">
        <f>SUBTOTAL(109,ACER[2019])</f>
        <v>2803</v>
      </c>
      <c r="O35" s="143">
        <f>SUBTOTAL(109,ACER[2019 (%)])</f>
        <v>1</v>
      </c>
    </row>
    <row r="36" spans="1:15" ht="3.75" customHeight="1" x14ac:dyDescent="0.2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5" x14ac:dyDescent="0.2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5" ht="15.75" x14ac:dyDescent="0.25">
      <c r="A38" s="174" t="s">
        <v>256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6"/>
    </row>
    <row r="39" spans="1:15" x14ac:dyDescent="0.2">
      <c r="A39" s="6" t="s">
        <v>35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  <c r="N39" s="2" t="s">
        <v>241</v>
      </c>
      <c r="O39" s="2" t="s">
        <v>252</v>
      </c>
    </row>
    <row r="40" spans="1:15" x14ac:dyDescent="0.2">
      <c r="A40" s="6" t="s">
        <v>140</v>
      </c>
      <c r="B40" s="12">
        <v>12</v>
      </c>
      <c r="C40" s="12">
        <v>16</v>
      </c>
      <c r="D40" s="12">
        <v>13</v>
      </c>
      <c r="E40" s="12">
        <v>16</v>
      </c>
      <c r="F40" s="12">
        <v>19</v>
      </c>
      <c r="G40" s="12">
        <v>11</v>
      </c>
      <c r="H40" s="12">
        <v>19</v>
      </c>
      <c r="I40" s="12">
        <v>16</v>
      </c>
      <c r="J40" s="12">
        <v>21</v>
      </c>
      <c r="K40" s="12">
        <v>28</v>
      </c>
      <c r="L40" s="12">
        <v>16</v>
      </c>
      <c r="M40" s="12">
        <v>11</v>
      </c>
      <c r="N40" s="11">
        <f>SUM(PCER[[#This Row],[JAN]:[DEZ]])</f>
        <v>198</v>
      </c>
      <c r="O40" s="63">
        <f>PCER[[#This Row],[2019]]/PCER[[#Totals],[2019]]</f>
        <v>6.8821689259645463E-2</v>
      </c>
    </row>
    <row r="41" spans="1:15" x14ac:dyDescent="0.2">
      <c r="A41" s="6" t="s">
        <v>141</v>
      </c>
      <c r="B41" s="12">
        <v>36</v>
      </c>
      <c r="C41" s="12">
        <v>37</v>
      </c>
      <c r="D41" s="12">
        <v>30</v>
      </c>
      <c r="E41" s="12">
        <v>33</v>
      </c>
      <c r="F41" s="12">
        <v>33</v>
      </c>
      <c r="G41" s="12">
        <v>25</v>
      </c>
      <c r="H41" s="12">
        <v>36</v>
      </c>
      <c r="I41" s="12">
        <v>48</v>
      </c>
      <c r="J41" s="12">
        <v>31</v>
      </c>
      <c r="K41" s="12">
        <v>56</v>
      </c>
      <c r="L41" s="12">
        <v>53</v>
      </c>
      <c r="M41" s="12">
        <v>32</v>
      </c>
      <c r="N41" s="11">
        <f>SUM(PCER[[#This Row],[JAN]:[DEZ]])</f>
        <v>450</v>
      </c>
      <c r="O41" s="63">
        <f>PCER[[#This Row],[2019]]/PCER[[#Totals],[2019]]</f>
        <v>0.15641293013555788</v>
      </c>
    </row>
    <row r="42" spans="1:15" x14ac:dyDescent="0.2">
      <c r="A42" s="6" t="s">
        <v>142</v>
      </c>
      <c r="B42" s="12">
        <v>9</v>
      </c>
      <c r="C42" s="12">
        <v>9</v>
      </c>
      <c r="D42" s="12">
        <v>4</v>
      </c>
      <c r="E42" s="12">
        <v>3</v>
      </c>
      <c r="F42" s="12">
        <v>9</v>
      </c>
      <c r="G42" s="12">
        <v>5</v>
      </c>
      <c r="H42" s="12">
        <v>7</v>
      </c>
      <c r="I42" s="12">
        <v>7</v>
      </c>
      <c r="J42" s="12">
        <v>9</v>
      </c>
      <c r="K42" s="12">
        <v>4</v>
      </c>
      <c r="L42" s="12">
        <v>10</v>
      </c>
      <c r="M42" s="12">
        <v>10</v>
      </c>
      <c r="N42" s="11">
        <f>SUM(PCER[[#This Row],[JAN]:[DEZ]])</f>
        <v>86</v>
      </c>
      <c r="O42" s="63">
        <f>PCER[[#This Row],[2019]]/PCER[[#Totals],[2019]]</f>
        <v>2.9892248870351062E-2</v>
      </c>
    </row>
    <row r="43" spans="1:15" x14ac:dyDescent="0.2">
      <c r="A43" s="6" t="s">
        <v>143</v>
      </c>
      <c r="B43" s="12">
        <v>40</v>
      </c>
      <c r="C43" s="12">
        <v>20</v>
      </c>
      <c r="D43" s="12">
        <v>38</v>
      </c>
      <c r="E43" s="12">
        <v>29</v>
      </c>
      <c r="F43" s="12">
        <v>21</v>
      </c>
      <c r="G43" s="12">
        <v>33</v>
      </c>
      <c r="H43" s="12">
        <v>23</v>
      </c>
      <c r="I43" s="12">
        <v>30</v>
      </c>
      <c r="J43" s="12">
        <v>23</v>
      </c>
      <c r="K43" s="12">
        <v>40</v>
      </c>
      <c r="L43" s="12">
        <v>34</v>
      </c>
      <c r="M43" s="12">
        <v>32</v>
      </c>
      <c r="N43" s="11">
        <f>SUM(PCER[[#This Row],[JAN]:[DEZ]])</f>
        <v>363</v>
      </c>
      <c r="O43" s="63">
        <f>PCER[[#This Row],[2019]]/PCER[[#Totals],[2019]]</f>
        <v>0.1261730969760167</v>
      </c>
    </row>
    <row r="44" spans="1:15" x14ac:dyDescent="0.2">
      <c r="A44" s="6" t="s">
        <v>151</v>
      </c>
      <c r="B44" s="12">
        <v>18</v>
      </c>
      <c r="C44" s="12">
        <v>24</v>
      </c>
      <c r="D44" s="12">
        <v>4</v>
      </c>
      <c r="E44" s="12">
        <v>10</v>
      </c>
      <c r="F44" s="12">
        <v>9</v>
      </c>
      <c r="G44" s="12">
        <v>8</v>
      </c>
      <c r="H44" s="12">
        <v>7</v>
      </c>
      <c r="I44" s="12">
        <v>10</v>
      </c>
      <c r="J44" s="12">
        <v>9</v>
      </c>
      <c r="K44" s="12">
        <v>11</v>
      </c>
      <c r="L44" s="12">
        <v>11</v>
      </c>
      <c r="M44" s="12">
        <v>11</v>
      </c>
      <c r="N44" s="11">
        <f>SUM(PCER[[#This Row],[JAN]:[DEZ]])</f>
        <v>132</v>
      </c>
      <c r="O44" s="63">
        <f>PCER[[#This Row],[2019]]/PCER[[#Totals],[2019]]</f>
        <v>4.5881126173096975E-2</v>
      </c>
    </row>
    <row r="45" spans="1:15" x14ac:dyDescent="0.2">
      <c r="A45" s="6" t="s">
        <v>154</v>
      </c>
      <c r="B45" s="12">
        <v>125</v>
      </c>
      <c r="C45" s="12">
        <v>109</v>
      </c>
      <c r="D45" s="12">
        <v>139</v>
      </c>
      <c r="E45" s="12">
        <v>165</v>
      </c>
      <c r="F45" s="12">
        <v>138</v>
      </c>
      <c r="G45" s="12">
        <v>134</v>
      </c>
      <c r="H45" s="12">
        <v>174</v>
      </c>
      <c r="I45" s="12">
        <v>153</v>
      </c>
      <c r="J45" s="12">
        <v>154</v>
      </c>
      <c r="K45" s="12">
        <v>150</v>
      </c>
      <c r="L45" s="12">
        <v>102</v>
      </c>
      <c r="M45" s="12">
        <v>105</v>
      </c>
      <c r="N45" s="11">
        <f>SUM(PCER[[#This Row],[JAN]:[DEZ]])</f>
        <v>1648</v>
      </c>
      <c r="O45" s="63">
        <f>PCER[[#This Row],[2019]]/PCER[[#Totals],[2019]]</f>
        <v>0.57281890858533191</v>
      </c>
    </row>
    <row r="46" spans="1:15" x14ac:dyDescent="0.2">
      <c r="A46" s="6" t="s">
        <v>153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1">
        <f>SUM(PCER[[#This Row],[JAN]:[DEZ]])</f>
        <v>0</v>
      </c>
      <c r="O46" s="63">
        <f>PCER[[#This Row],[2019]]/PCER[[#Totals],[2019]]</f>
        <v>0</v>
      </c>
    </row>
    <row r="47" spans="1:15" x14ac:dyDescent="0.2">
      <c r="A47" s="142"/>
      <c r="B47" s="119">
        <f>SUBTOTAL(109,PCER[JAN])</f>
        <v>240</v>
      </c>
      <c r="C47" s="119">
        <f>SUBTOTAL(109,PCER[FEV])</f>
        <v>215</v>
      </c>
      <c r="D47" s="119">
        <f>SUBTOTAL(109,PCER[MAR])</f>
        <v>228</v>
      </c>
      <c r="E47" s="119">
        <f>SUBTOTAL(109,PCER[ABR])</f>
        <v>256</v>
      </c>
      <c r="F47" s="119">
        <f>SUBTOTAL(109,PCER[MAI])</f>
        <v>229</v>
      </c>
      <c r="G47" s="119">
        <f>SUBTOTAL(109,PCER[JUN])</f>
        <v>216</v>
      </c>
      <c r="H47" s="119">
        <f>SUBTOTAL(109,PCER[JUL])</f>
        <v>266</v>
      </c>
      <c r="I47" s="119">
        <f>SUBTOTAL(109,PCER[AGO])</f>
        <v>264</v>
      </c>
      <c r="J47" s="119">
        <f>SUBTOTAL(109,PCER[SET])</f>
        <v>247</v>
      </c>
      <c r="K47" s="119">
        <f>SUBTOTAL(109,PCER[OUT])</f>
        <v>289</v>
      </c>
      <c r="L47" s="119">
        <f>SUBTOTAL(109,PCER[NOV])</f>
        <v>226</v>
      </c>
      <c r="M47" s="119">
        <f>SUBTOTAL(109,PCER[DEZ])</f>
        <v>201</v>
      </c>
      <c r="N47" s="120">
        <f>SUBTOTAL(109,PCER[2019])</f>
        <v>2877</v>
      </c>
      <c r="O47" s="143">
        <f>SUBTOTAL(109,PCER[2019 (%)])</f>
        <v>1</v>
      </c>
    </row>
    <row r="49" spans="1:15" ht="15.75" x14ac:dyDescent="0.25">
      <c r="A49" s="168" t="s">
        <v>257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70"/>
    </row>
    <row r="50" spans="1:15" x14ac:dyDescent="0.2">
      <c r="A50" s="6" t="s">
        <v>35</v>
      </c>
      <c r="B50" s="1" t="s">
        <v>1</v>
      </c>
      <c r="C50" s="1" t="s">
        <v>2</v>
      </c>
      <c r="D50" s="1" t="s">
        <v>3</v>
      </c>
      <c r="E50" s="1" t="s">
        <v>4</v>
      </c>
      <c r="F50" s="1" t="s">
        <v>5</v>
      </c>
      <c r="G50" s="1" t="s">
        <v>6</v>
      </c>
      <c r="H50" s="1" t="s">
        <v>7</v>
      </c>
      <c r="I50" s="1" t="s">
        <v>8</v>
      </c>
      <c r="J50" s="1" t="s">
        <v>9</v>
      </c>
      <c r="K50" s="1" t="s">
        <v>10</v>
      </c>
      <c r="L50" s="1" t="s">
        <v>11</v>
      </c>
      <c r="M50" s="1" t="s">
        <v>12</v>
      </c>
      <c r="N50" s="2" t="s">
        <v>241</v>
      </c>
      <c r="O50" s="2" t="s">
        <v>252</v>
      </c>
    </row>
    <row r="51" spans="1:15" x14ac:dyDescent="0.2">
      <c r="A51" s="6" t="s">
        <v>140</v>
      </c>
      <c r="B51" s="12">
        <v>5</v>
      </c>
      <c r="C51" s="12">
        <v>4</v>
      </c>
      <c r="D51" s="12">
        <v>3</v>
      </c>
      <c r="E51" s="12">
        <v>2</v>
      </c>
      <c r="F51" s="12">
        <v>0</v>
      </c>
      <c r="G51" s="12">
        <v>2</v>
      </c>
      <c r="H51" s="12">
        <v>1</v>
      </c>
      <c r="I51" s="12">
        <v>0</v>
      </c>
      <c r="J51" s="12">
        <v>3</v>
      </c>
      <c r="K51" s="12">
        <v>7</v>
      </c>
      <c r="L51" s="12">
        <v>1</v>
      </c>
      <c r="M51" s="12">
        <v>6</v>
      </c>
      <c r="N51" s="11">
        <f>SUM(ACUR[[#This Row],[JAN]:[DEZ]])</f>
        <v>34</v>
      </c>
      <c r="O51" s="63">
        <f>ACUR[[#This Row],[2019]]/ACUR[[#Totals],[2019]]</f>
        <v>1.270078446021666E-2</v>
      </c>
    </row>
    <row r="52" spans="1:15" x14ac:dyDescent="0.2">
      <c r="A52" s="6" t="s">
        <v>141</v>
      </c>
      <c r="B52" s="12">
        <v>28</v>
      </c>
      <c r="C52" s="12">
        <v>32</v>
      </c>
      <c r="D52" s="12">
        <v>29</v>
      </c>
      <c r="E52" s="12">
        <v>44</v>
      </c>
      <c r="F52" s="12">
        <v>39</v>
      </c>
      <c r="G52" s="12">
        <v>29</v>
      </c>
      <c r="H52" s="12">
        <v>32</v>
      </c>
      <c r="I52" s="12">
        <v>32</v>
      </c>
      <c r="J52" s="12">
        <v>25</v>
      </c>
      <c r="K52" s="12">
        <v>20</v>
      </c>
      <c r="L52" s="12">
        <v>29</v>
      </c>
      <c r="M52" s="12">
        <v>35</v>
      </c>
      <c r="N52" s="11">
        <f>SUM(ACUR[[#This Row],[JAN]:[DEZ]])</f>
        <v>374</v>
      </c>
      <c r="O52" s="63">
        <f>ACUR[[#This Row],[2019]]/ACUR[[#Totals],[2019]]</f>
        <v>0.13970862906238327</v>
      </c>
    </row>
    <row r="53" spans="1:15" x14ac:dyDescent="0.2">
      <c r="A53" s="6" t="s">
        <v>142</v>
      </c>
      <c r="B53" s="12">
        <v>0</v>
      </c>
      <c r="C53" s="12">
        <v>0</v>
      </c>
      <c r="D53" s="12">
        <v>0</v>
      </c>
      <c r="E53" s="12">
        <v>0</v>
      </c>
      <c r="F53" s="12">
        <v>1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</v>
      </c>
      <c r="N53" s="11">
        <f>SUM(ACUR[[#This Row],[JAN]:[DEZ]])</f>
        <v>2</v>
      </c>
      <c r="O53" s="63">
        <f>ACUR[[#This Row],[2019]]/ACUR[[#Totals],[2019]]</f>
        <v>7.4710496824803888E-4</v>
      </c>
    </row>
    <row r="54" spans="1:15" x14ac:dyDescent="0.2">
      <c r="A54" s="6" t="s">
        <v>143</v>
      </c>
      <c r="B54" s="12">
        <v>54</v>
      </c>
      <c r="C54" s="12">
        <v>28</v>
      </c>
      <c r="D54" s="12">
        <v>33</v>
      </c>
      <c r="E54" s="12">
        <v>50</v>
      </c>
      <c r="F54" s="12">
        <v>63</v>
      </c>
      <c r="G54" s="12">
        <v>38</v>
      </c>
      <c r="H54" s="12">
        <v>41</v>
      </c>
      <c r="I54" s="12">
        <v>31</v>
      </c>
      <c r="J54" s="12">
        <v>46</v>
      </c>
      <c r="K54" s="12">
        <v>51</v>
      </c>
      <c r="L54" s="12">
        <v>53</v>
      </c>
      <c r="M54" s="12">
        <v>28</v>
      </c>
      <c r="N54" s="11">
        <f>SUM(ACUR[[#This Row],[JAN]:[DEZ]])</f>
        <v>516</v>
      </c>
      <c r="O54" s="63">
        <f>ACUR[[#This Row],[2019]]/ACUR[[#Totals],[2019]]</f>
        <v>0.19275308180799403</v>
      </c>
    </row>
    <row r="55" spans="1:15" x14ac:dyDescent="0.2">
      <c r="A55" s="6" t="s">
        <v>151</v>
      </c>
      <c r="B55" s="12">
        <v>15</v>
      </c>
      <c r="C55" s="12">
        <v>15</v>
      </c>
      <c r="D55" s="12">
        <v>20</v>
      </c>
      <c r="E55" s="12">
        <v>22</v>
      </c>
      <c r="F55" s="12">
        <v>29</v>
      </c>
      <c r="G55" s="12">
        <v>23</v>
      </c>
      <c r="H55" s="12">
        <v>24</v>
      </c>
      <c r="I55" s="12">
        <v>22</v>
      </c>
      <c r="J55" s="12">
        <v>30</v>
      </c>
      <c r="K55" s="12">
        <v>29</v>
      </c>
      <c r="L55" s="12">
        <v>23</v>
      </c>
      <c r="M55" s="12">
        <v>20</v>
      </c>
      <c r="N55" s="11">
        <f>SUM(ACUR[[#This Row],[JAN]:[DEZ]])</f>
        <v>272</v>
      </c>
      <c r="O55" s="63">
        <f>ACUR[[#This Row],[2019]]/ACUR[[#Totals],[2019]]</f>
        <v>0.10160627568173328</v>
      </c>
    </row>
    <row r="56" spans="1:15" x14ac:dyDescent="0.2">
      <c r="A56" s="6" t="s">
        <v>154</v>
      </c>
      <c r="B56" s="12">
        <v>83</v>
      </c>
      <c r="C56" s="12">
        <v>86</v>
      </c>
      <c r="D56" s="12">
        <v>133</v>
      </c>
      <c r="E56" s="12">
        <v>119</v>
      </c>
      <c r="F56" s="12">
        <v>127</v>
      </c>
      <c r="G56" s="12">
        <v>118</v>
      </c>
      <c r="H56" s="12">
        <v>116</v>
      </c>
      <c r="I56" s="12">
        <v>142</v>
      </c>
      <c r="J56" s="12">
        <v>122</v>
      </c>
      <c r="K56" s="12">
        <v>168</v>
      </c>
      <c r="L56" s="12">
        <v>136</v>
      </c>
      <c r="M56" s="12">
        <v>124</v>
      </c>
      <c r="N56" s="11">
        <f>SUM(ACUR[[#This Row],[JAN]:[DEZ]])</f>
        <v>1474</v>
      </c>
      <c r="O56" s="63">
        <f>ACUR[[#This Row],[2019]]/ACUR[[#Totals],[2019]]</f>
        <v>0.55061636159880467</v>
      </c>
    </row>
    <row r="57" spans="1:15" x14ac:dyDescent="0.2">
      <c r="A57" s="6" t="s">
        <v>153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2</v>
      </c>
      <c r="I57" s="12">
        <v>0</v>
      </c>
      <c r="J57" s="12">
        <v>2</v>
      </c>
      <c r="K57" s="12">
        <v>1</v>
      </c>
      <c r="L57" s="12">
        <v>0</v>
      </c>
      <c r="M57" s="12">
        <v>0</v>
      </c>
      <c r="N57" s="11">
        <f>SUM(ACUR[[#This Row],[JAN]:[DEZ]])</f>
        <v>5</v>
      </c>
      <c r="O57" s="63">
        <f>ACUR[[#This Row],[2019]]/ACUR[[#Totals],[2019]]</f>
        <v>1.8677624206200972E-3</v>
      </c>
    </row>
    <row r="58" spans="1:15" x14ac:dyDescent="0.2">
      <c r="A58" s="142"/>
      <c r="B58" s="119">
        <f>SUBTOTAL(109,ACUR[JAN])</f>
        <v>185</v>
      </c>
      <c r="C58" s="119">
        <f>SUBTOTAL(109,ACUR[FEV])</f>
        <v>165</v>
      </c>
      <c r="D58" s="119">
        <f>SUBTOTAL(109,ACUR[MAR])</f>
        <v>218</v>
      </c>
      <c r="E58" s="119">
        <f>SUBTOTAL(109,ACUR[ABR])</f>
        <v>237</v>
      </c>
      <c r="F58" s="119">
        <f>SUBTOTAL(109,ACUR[MAI])</f>
        <v>259</v>
      </c>
      <c r="G58" s="119">
        <f>SUBTOTAL(109,ACUR[JUN])</f>
        <v>210</v>
      </c>
      <c r="H58" s="119">
        <f>SUBTOTAL(109,ACUR[JUL])</f>
        <v>216</v>
      </c>
      <c r="I58" s="119">
        <f>SUBTOTAL(109,ACUR[AGO])</f>
        <v>227</v>
      </c>
      <c r="J58" s="119">
        <f>SUBTOTAL(109,ACUR[SET])</f>
        <v>228</v>
      </c>
      <c r="K58" s="119">
        <f>SUBTOTAL(109,ACUR[OUT])</f>
        <v>276</v>
      </c>
      <c r="L58" s="119">
        <f>SUBTOTAL(109,ACUR[NOV])</f>
        <v>242</v>
      </c>
      <c r="M58" s="119">
        <f>SUBTOTAL(109,ACUR[DEZ])</f>
        <v>214</v>
      </c>
      <c r="N58" s="120">
        <f>SUBTOTAL(109,ACUR[2019])</f>
        <v>2677</v>
      </c>
      <c r="O58" s="143">
        <f>SUBTOTAL(109,ACUR[2019 (%)])</f>
        <v>1</v>
      </c>
    </row>
    <row r="59" spans="1:15" ht="3.75" customHeight="1" x14ac:dyDescent="0.2"/>
    <row r="60" spans="1:15" x14ac:dyDescent="0.2">
      <c r="A60" s="6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4"/>
    </row>
    <row r="61" spans="1:15" ht="15.75" x14ac:dyDescent="0.25">
      <c r="A61" s="162" t="s">
        <v>258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4"/>
    </row>
    <row r="62" spans="1:15" x14ac:dyDescent="0.2">
      <c r="A62" s="6" t="s">
        <v>35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  <c r="I62" s="1" t="s">
        <v>8</v>
      </c>
      <c r="J62" s="1" t="s">
        <v>9</v>
      </c>
      <c r="K62" s="1" t="s">
        <v>10</v>
      </c>
      <c r="L62" s="1" t="s">
        <v>11</v>
      </c>
      <c r="M62" s="1" t="s">
        <v>12</v>
      </c>
      <c r="N62" s="2" t="s">
        <v>241</v>
      </c>
      <c r="O62" s="2" t="s">
        <v>252</v>
      </c>
    </row>
    <row r="63" spans="1:15" x14ac:dyDescent="0.2">
      <c r="A63" s="6" t="s">
        <v>140</v>
      </c>
      <c r="B63" s="12">
        <v>5</v>
      </c>
      <c r="C63" s="12">
        <v>4</v>
      </c>
      <c r="D63" s="12">
        <v>3</v>
      </c>
      <c r="E63" s="12">
        <v>2</v>
      </c>
      <c r="F63" s="12">
        <v>0</v>
      </c>
      <c r="G63" s="12">
        <v>3</v>
      </c>
      <c r="H63" s="12">
        <v>1</v>
      </c>
      <c r="I63" s="12">
        <v>0</v>
      </c>
      <c r="J63" s="12">
        <v>3</v>
      </c>
      <c r="K63" s="12">
        <v>7</v>
      </c>
      <c r="L63" s="12">
        <v>1</v>
      </c>
      <c r="M63" s="12">
        <v>8</v>
      </c>
      <c r="N63" s="11">
        <f>SUM(PCUR[[#This Row],[JAN]:[DEZ]])</f>
        <v>37</v>
      </c>
      <c r="O63" s="63">
        <f>PCUR[[#This Row],[2019]]/PCUR[[#Totals],[2019]]</f>
        <v>1.3304566702624955E-2</v>
      </c>
    </row>
    <row r="64" spans="1:15" x14ac:dyDescent="0.2">
      <c r="A64" s="6" t="s">
        <v>141</v>
      </c>
      <c r="B64" s="12">
        <v>31</v>
      </c>
      <c r="C64" s="12">
        <v>34</v>
      </c>
      <c r="D64" s="12">
        <v>30</v>
      </c>
      <c r="E64" s="12">
        <v>47</v>
      </c>
      <c r="F64" s="12">
        <v>41</v>
      </c>
      <c r="G64" s="12">
        <v>32</v>
      </c>
      <c r="H64" s="12">
        <v>32</v>
      </c>
      <c r="I64" s="12">
        <v>32</v>
      </c>
      <c r="J64" s="12">
        <v>25</v>
      </c>
      <c r="K64" s="12">
        <v>20</v>
      </c>
      <c r="L64" s="12">
        <v>32</v>
      </c>
      <c r="M64" s="12">
        <v>38</v>
      </c>
      <c r="N64" s="11">
        <f>SUM(PCUR[[#This Row],[JAN]:[DEZ]])</f>
        <v>394</v>
      </c>
      <c r="O64" s="63">
        <f>PCUR[[#This Row],[2019]]/PCUR[[#Totals],[2019]]</f>
        <v>0.14167565623876305</v>
      </c>
    </row>
    <row r="65" spans="1:15" x14ac:dyDescent="0.2">
      <c r="A65" s="6" t="s">
        <v>142</v>
      </c>
      <c r="B65" s="12">
        <v>0</v>
      </c>
      <c r="C65" s="12">
        <v>0</v>
      </c>
      <c r="D65" s="12">
        <v>0</v>
      </c>
      <c r="E65" s="12">
        <v>0</v>
      </c>
      <c r="F65" s="12">
        <v>1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</v>
      </c>
      <c r="N65" s="11">
        <f>SUM(PCUR[[#This Row],[JAN]:[DEZ]])</f>
        <v>2</v>
      </c>
      <c r="O65" s="63">
        <f>PCUR[[#This Row],[2019]]/PCUR[[#Totals],[2019]]</f>
        <v>7.19165767709457E-4</v>
      </c>
    </row>
    <row r="66" spans="1:15" x14ac:dyDescent="0.2">
      <c r="A66" s="6" t="s">
        <v>143</v>
      </c>
      <c r="B66" s="12">
        <v>54</v>
      </c>
      <c r="C66" s="12">
        <v>29</v>
      </c>
      <c r="D66" s="12">
        <v>34</v>
      </c>
      <c r="E66" s="12">
        <v>50</v>
      </c>
      <c r="F66" s="12">
        <v>64</v>
      </c>
      <c r="G66" s="12">
        <v>39</v>
      </c>
      <c r="H66" s="12">
        <v>41</v>
      </c>
      <c r="I66" s="12">
        <v>33</v>
      </c>
      <c r="J66" s="12">
        <v>46</v>
      </c>
      <c r="K66" s="12">
        <v>52</v>
      </c>
      <c r="L66" s="12">
        <v>53</v>
      </c>
      <c r="M66" s="12">
        <v>28</v>
      </c>
      <c r="N66" s="11">
        <f>SUM(PCUR[[#This Row],[JAN]:[DEZ]])</f>
        <v>523</v>
      </c>
      <c r="O66" s="63">
        <f>PCUR[[#This Row],[2019]]/PCUR[[#Totals],[2019]]</f>
        <v>0.18806184825602301</v>
      </c>
    </row>
    <row r="67" spans="1:15" x14ac:dyDescent="0.2">
      <c r="A67" s="6" t="s">
        <v>151</v>
      </c>
      <c r="B67" s="12">
        <v>15</v>
      </c>
      <c r="C67" s="12">
        <v>15</v>
      </c>
      <c r="D67" s="12">
        <v>20</v>
      </c>
      <c r="E67" s="12">
        <v>22</v>
      </c>
      <c r="F67" s="12">
        <v>29</v>
      </c>
      <c r="G67" s="12">
        <v>23</v>
      </c>
      <c r="H67" s="12">
        <v>24</v>
      </c>
      <c r="I67" s="12">
        <v>22</v>
      </c>
      <c r="J67" s="12">
        <v>30</v>
      </c>
      <c r="K67" s="12">
        <v>29</v>
      </c>
      <c r="L67" s="12">
        <v>23</v>
      </c>
      <c r="M67" s="12">
        <v>20</v>
      </c>
      <c r="N67" s="11">
        <f>SUM(PCUR[[#This Row],[JAN]:[DEZ]])</f>
        <v>272</v>
      </c>
      <c r="O67" s="63">
        <f>PCUR[[#This Row],[2019]]/PCUR[[#Totals],[2019]]</f>
        <v>9.7806544408486157E-2</v>
      </c>
    </row>
    <row r="68" spans="1:15" x14ac:dyDescent="0.2">
      <c r="A68" s="6" t="s">
        <v>154</v>
      </c>
      <c r="B68" s="12">
        <v>88</v>
      </c>
      <c r="C68" s="12">
        <v>91</v>
      </c>
      <c r="D68" s="12">
        <v>139</v>
      </c>
      <c r="E68" s="12">
        <v>125</v>
      </c>
      <c r="F68" s="12">
        <v>134</v>
      </c>
      <c r="G68" s="12">
        <v>121</v>
      </c>
      <c r="H68" s="12">
        <v>120</v>
      </c>
      <c r="I68" s="12">
        <v>150</v>
      </c>
      <c r="J68" s="12">
        <v>129</v>
      </c>
      <c r="K68" s="12">
        <v>175</v>
      </c>
      <c r="L68" s="12">
        <v>141</v>
      </c>
      <c r="M68" s="12">
        <v>135</v>
      </c>
      <c r="N68" s="11">
        <f>SUM(PCUR[[#This Row],[JAN]:[DEZ]])</f>
        <v>1548</v>
      </c>
      <c r="O68" s="63">
        <f>PCUR[[#This Row],[2019]]/PCUR[[#Totals],[2019]]</f>
        <v>0.55663430420711979</v>
      </c>
    </row>
    <row r="69" spans="1:15" x14ac:dyDescent="0.2">
      <c r="A69" s="6" t="s">
        <v>153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2</v>
      </c>
      <c r="I69" s="12">
        <v>0</v>
      </c>
      <c r="J69" s="12">
        <v>2</v>
      </c>
      <c r="K69" s="12">
        <v>1</v>
      </c>
      <c r="L69" s="12">
        <v>0</v>
      </c>
      <c r="M69" s="12">
        <v>0</v>
      </c>
      <c r="N69" s="11">
        <f>SUM(PCUR[[#This Row],[JAN]:[DEZ]])</f>
        <v>5</v>
      </c>
      <c r="O69" s="63">
        <f>PCUR[[#This Row],[2019]]/PCUR[[#Totals],[2019]]</f>
        <v>1.7979144192736426E-3</v>
      </c>
    </row>
    <row r="70" spans="1:15" x14ac:dyDescent="0.2">
      <c r="A70" s="142"/>
      <c r="B70" s="119">
        <f>SUBTOTAL(109,PCUR[JAN])</f>
        <v>193</v>
      </c>
      <c r="C70" s="119">
        <f>SUBTOTAL(109,PCUR[FEV])</f>
        <v>173</v>
      </c>
      <c r="D70" s="119">
        <f>SUBTOTAL(109,PCUR[MAR])</f>
        <v>226</v>
      </c>
      <c r="E70" s="119">
        <f>SUBTOTAL(109,PCUR[ABR])</f>
        <v>246</v>
      </c>
      <c r="F70" s="119">
        <f>SUBTOTAL(109,PCUR[MAI])</f>
        <v>269</v>
      </c>
      <c r="G70" s="119">
        <f>SUBTOTAL(109,PCUR[JUN])</f>
        <v>218</v>
      </c>
      <c r="H70" s="119">
        <f>SUBTOTAL(109,PCUR[JUL])</f>
        <v>220</v>
      </c>
      <c r="I70" s="119">
        <f>SUBTOTAL(109,PCUR[AGO])</f>
        <v>237</v>
      </c>
      <c r="J70" s="119">
        <f>SUBTOTAL(109,PCUR[SET])</f>
        <v>235</v>
      </c>
      <c r="K70" s="119">
        <f>SUBTOTAL(109,PCUR[OUT])</f>
        <v>284</v>
      </c>
      <c r="L70" s="119">
        <f>SUBTOTAL(109,PCUR[NOV])</f>
        <v>250</v>
      </c>
      <c r="M70" s="119">
        <f>SUBTOTAL(109,PCUR[DEZ])</f>
        <v>230</v>
      </c>
      <c r="N70" s="120">
        <f>SUBTOTAL(109,PCUR[2019])</f>
        <v>2781</v>
      </c>
      <c r="O70" s="143"/>
    </row>
  </sheetData>
  <sheetProtection autoFilter="0"/>
  <mergeCells count="8">
    <mergeCell ref="A1:O1"/>
    <mergeCell ref="A2:O2"/>
    <mergeCell ref="A61:O61"/>
    <mergeCell ref="A14:O14"/>
    <mergeCell ref="A26:O26"/>
    <mergeCell ref="A49:O49"/>
    <mergeCell ref="A15:O15"/>
    <mergeCell ref="A38:O38"/>
  </mergeCells>
  <pageMargins left="0.511811024" right="0.511811024" top="0.78740157499999996" bottom="0.78740157499999996" header="0.31496062000000002" footer="0.31496062000000002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5" tint="-0.499984740745262"/>
  </sheetPr>
  <dimension ref="A1:N11"/>
  <sheetViews>
    <sheetView workbookViewId="0">
      <selection sqref="A1:N1"/>
    </sheetView>
  </sheetViews>
  <sheetFormatPr defaultRowHeight="11.25" x14ac:dyDescent="0.2"/>
  <cols>
    <col min="1" max="1" width="23.140625" style="1" bestFit="1" customWidth="1"/>
    <col min="2" max="2" width="8.140625" style="1" bestFit="1" customWidth="1"/>
    <col min="3" max="3" width="8" style="1" bestFit="1" customWidth="1"/>
    <col min="4" max="4" width="8.85546875" style="1" bestFit="1" customWidth="1"/>
    <col min="5" max="5" width="8.28515625" style="1" bestFit="1" customWidth="1"/>
    <col min="6" max="6" width="8.42578125" style="1" bestFit="1" customWidth="1"/>
    <col min="7" max="7" width="8.140625" style="1" bestFit="1" customWidth="1"/>
    <col min="8" max="8" width="7.85546875" style="1" bestFit="1" customWidth="1"/>
    <col min="9" max="9" width="8.5703125" style="1" bestFit="1" customWidth="1"/>
    <col min="10" max="10" width="7.7109375" style="1" bestFit="1" customWidth="1"/>
    <col min="11" max="11" width="8.28515625" style="1" bestFit="1" customWidth="1"/>
    <col min="12" max="12" width="8.5703125" style="1" bestFit="1" customWidth="1"/>
    <col min="13" max="13" width="8" style="1" bestFit="1" customWidth="1"/>
    <col min="14" max="16384" width="9.140625" style="1"/>
  </cols>
  <sheetData>
    <row r="1" spans="1:14" ht="15.75" x14ac:dyDescent="0.25">
      <c r="A1" s="171" t="s">
        <v>44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3"/>
    </row>
    <row r="2" spans="1:14" x14ac:dyDescent="0.2">
      <c r="A2" s="1" t="s">
        <v>45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10" t="s">
        <v>241</v>
      </c>
    </row>
    <row r="3" spans="1:14" x14ac:dyDescent="0.2">
      <c r="A3" s="1" t="s">
        <v>46</v>
      </c>
      <c r="B3" s="12">
        <v>13968</v>
      </c>
      <c r="C3" s="12">
        <v>13366</v>
      </c>
      <c r="D3" s="12">
        <v>15729</v>
      </c>
      <c r="E3" s="12">
        <v>16449</v>
      </c>
      <c r="F3" s="12">
        <v>17295</v>
      </c>
      <c r="G3" s="12">
        <v>15412</v>
      </c>
      <c r="H3" s="12">
        <v>16477</v>
      </c>
      <c r="I3" s="12">
        <v>15976</v>
      </c>
      <c r="J3" s="12">
        <v>16192</v>
      </c>
      <c r="K3" s="12">
        <v>17109</v>
      </c>
      <c r="L3" s="12">
        <v>17037</v>
      </c>
      <c r="M3" s="12">
        <v>17624</v>
      </c>
      <c r="N3" s="20">
        <f>SUM(EXAMES[[#This Row],[JAN]:[DEZ]])</f>
        <v>192634</v>
      </c>
    </row>
    <row r="4" spans="1:14" x14ac:dyDescent="0.2">
      <c r="A4" s="1" t="s">
        <v>203</v>
      </c>
      <c r="B4" s="49">
        <v>3377</v>
      </c>
      <c r="C4" s="49">
        <v>3060</v>
      </c>
      <c r="D4" s="49">
        <v>4109</v>
      </c>
      <c r="E4" s="49">
        <v>4346</v>
      </c>
      <c r="F4" s="83">
        <v>4480</v>
      </c>
      <c r="G4" s="49">
        <v>4085</v>
      </c>
      <c r="H4" s="49">
        <v>3996</v>
      </c>
      <c r="I4" s="49">
        <v>4124</v>
      </c>
      <c r="J4" s="49">
        <v>4443</v>
      </c>
      <c r="K4" s="49">
        <v>4264</v>
      </c>
      <c r="L4" s="49">
        <v>4183</v>
      </c>
      <c r="M4" s="49">
        <v>4378</v>
      </c>
      <c r="N4" s="50">
        <f>SUM(EXAMES[[#This Row],[JAN]:[DEZ]])</f>
        <v>48845</v>
      </c>
    </row>
    <row r="5" spans="1:14" x14ac:dyDescent="0.2">
      <c r="A5" s="1" t="s">
        <v>47</v>
      </c>
      <c r="B5" s="12">
        <v>186</v>
      </c>
      <c r="C5" s="12">
        <v>191</v>
      </c>
      <c r="D5" s="12">
        <v>255</v>
      </c>
      <c r="E5" s="12">
        <v>359</v>
      </c>
      <c r="F5" s="12">
        <v>412</v>
      </c>
      <c r="G5" s="12">
        <v>273</v>
      </c>
      <c r="H5" s="12">
        <v>291</v>
      </c>
      <c r="I5" s="12">
        <v>302</v>
      </c>
      <c r="J5" s="12">
        <v>265</v>
      </c>
      <c r="K5" s="12">
        <v>311</v>
      </c>
      <c r="L5" s="12">
        <v>274</v>
      </c>
      <c r="M5" s="12">
        <v>294</v>
      </c>
      <c r="N5" s="20">
        <f>SUM(EXAMES[[#This Row],[JAN]:[DEZ]])</f>
        <v>3413</v>
      </c>
    </row>
    <row r="6" spans="1:14" x14ac:dyDescent="0.2">
      <c r="A6" s="1" t="s">
        <v>48</v>
      </c>
      <c r="B6" s="12">
        <v>1207</v>
      </c>
      <c r="C6" s="12">
        <v>886</v>
      </c>
      <c r="D6" s="12">
        <v>1495</v>
      </c>
      <c r="E6" s="12">
        <v>1482</v>
      </c>
      <c r="F6" s="12">
        <v>1641</v>
      </c>
      <c r="G6" s="12">
        <v>1447</v>
      </c>
      <c r="H6" s="12">
        <v>1581</v>
      </c>
      <c r="I6" s="12">
        <v>1558</v>
      </c>
      <c r="J6" s="12">
        <v>1538</v>
      </c>
      <c r="K6" s="12">
        <v>1577</v>
      </c>
      <c r="L6" s="12">
        <v>1554</v>
      </c>
      <c r="M6" s="12">
        <v>1771</v>
      </c>
      <c r="N6" s="20">
        <f>SUM(EXAMES[[#This Row],[JAN]:[DEZ]])</f>
        <v>17737</v>
      </c>
    </row>
    <row r="7" spans="1:14" x14ac:dyDescent="0.2">
      <c r="A7" s="1" t="s">
        <v>49</v>
      </c>
      <c r="B7" s="12">
        <v>40</v>
      </c>
      <c r="C7" s="12">
        <v>24</v>
      </c>
      <c r="D7" s="12">
        <v>22</v>
      </c>
      <c r="E7" s="12">
        <v>28</v>
      </c>
      <c r="F7" s="12">
        <v>29</v>
      </c>
      <c r="G7" s="12">
        <v>16</v>
      </c>
      <c r="H7" s="12">
        <v>30</v>
      </c>
      <c r="I7" s="12">
        <v>30</v>
      </c>
      <c r="J7" s="12">
        <v>23</v>
      </c>
      <c r="K7" s="12">
        <v>17</v>
      </c>
      <c r="L7" s="12">
        <v>20</v>
      </c>
      <c r="M7" s="12">
        <v>21</v>
      </c>
      <c r="N7" s="20">
        <f>SUM(EXAMES[[#This Row],[JAN]:[DEZ]])</f>
        <v>300</v>
      </c>
    </row>
    <row r="8" spans="1:14" x14ac:dyDescent="0.2">
      <c r="A8" s="1" t="s">
        <v>50</v>
      </c>
      <c r="B8" s="12">
        <v>21</v>
      </c>
      <c r="C8" s="12">
        <v>38</v>
      </c>
      <c r="D8" s="12">
        <v>26</v>
      </c>
      <c r="E8" s="12">
        <v>25</v>
      </c>
      <c r="F8" s="12">
        <v>28</v>
      </c>
      <c r="G8" s="12">
        <v>16</v>
      </c>
      <c r="H8" s="12">
        <v>38</v>
      </c>
      <c r="I8" s="12">
        <v>30</v>
      </c>
      <c r="J8" s="12">
        <v>18</v>
      </c>
      <c r="K8" s="12">
        <v>19</v>
      </c>
      <c r="L8" s="12">
        <v>20</v>
      </c>
      <c r="M8" s="12">
        <v>29</v>
      </c>
      <c r="N8" s="20">
        <f>SUM(EXAMES[[#This Row],[JAN]:[DEZ]])</f>
        <v>308</v>
      </c>
    </row>
    <row r="9" spans="1:14" x14ac:dyDescent="0.2">
      <c r="A9" s="1" t="s">
        <v>51</v>
      </c>
      <c r="B9" s="12">
        <v>35</v>
      </c>
      <c r="C9" s="12">
        <v>24</v>
      </c>
      <c r="D9" s="12">
        <v>31</v>
      </c>
      <c r="E9" s="12">
        <v>33</v>
      </c>
      <c r="F9" s="12">
        <v>11</v>
      </c>
      <c r="G9" s="12">
        <v>17</v>
      </c>
      <c r="H9" s="12">
        <v>19</v>
      </c>
      <c r="I9" s="12">
        <v>26</v>
      </c>
      <c r="J9" s="12">
        <v>23</v>
      </c>
      <c r="K9" s="12">
        <v>22</v>
      </c>
      <c r="L9" s="12">
        <v>16</v>
      </c>
      <c r="M9" s="12">
        <v>15</v>
      </c>
      <c r="N9" s="20">
        <f>SUM(EXAMES[[#This Row],[JAN]:[DEZ]])</f>
        <v>272</v>
      </c>
    </row>
    <row r="10" spans="1:14" x14ac:dyDescent="0.2">
      <c r="A10" s="118" t="s">
        <v>338</v>
      </c>
      <c r="B10" s="121">
        <v>0</v>
      </c>
      <c r="C10" s="121">
        <v>0</v>
      </c>
      <c r="D10" s="121">
        <v>0</v>
      </c>
      <c r="E10" s="121">
        <v>29</v>
      </c>
      <c r="F10" s="121">
        <v>116</v>
      </c>
      <c r="G10" s="121">
        <v>52</v>
      </c>
      <c r="H10" s="121">
        <v>121</v>
      </c>
      <c r="I10" s="121">
        <v>28</v>
      </c>
      <c r="J10" s="121">
        <v>78</v>
      </c>
      <c r="K10" s="121">
        <v>80</v>
      </c>
      <c r="L10" s="121">
        <v>71</v>
      </c>
      <c r="M10" s="121">
        <v>72</v>
      </c>
      <c r="N10" s="132">
        <f>SUM(EXAMES[[#This Row],[JAN]:[DEZ]])</f>
        <v>647</v>
      </c>
    </row>
    <row r="11" spans="1:14" x14ac:dyDescent="0.2">
      <c r="A11" s="118"/>
      <c r="B11" s="121">
        <f>SUBTOTAL(109,EXAMES[JAN])</f>
        <v>18834</v>
      </c>
      <c r="C11" s="121">
        <f>SUBTOTAL(109,EXAMES[FEV])</f>
        <v>17589</v>
      </c>
      <c r="D11" s="121">
        <f>SUBTOTAL(109,EXAMES[MAR])</f>
        <v>21667</v>
      </c>
      <c r="E11" s="121">
        <f>SUBTOTAL(109,EXAMES[ABR])</f>
        <v>22751</v>
      </c>
      <c r="F11" s="121">
        <f>SUBTOTAL(109,EXAMES[MAI])</f>
        <v>24012</v>
      </c>
      <c r="G11" s="121">
        <f>SUBTOTAL(109,EXAMES[JUN])</f>
        <v>21318</v>
      </c>
      <c r="H11" s="121">
        <f>SUBTOTAL(109,EXAMES[JUL])</f>
        <v>22553</v>
      </c>
      <c r="I11" s="121">
        <f>SUBTOTAL(109,EXAMES[AGO])</f>
        <v>22074</v>
      </c>
      <c r="J11" s="121">
        <f>SUBTOTAL(109,EXAMES[SET])</f>
        <v>22580</v>
      </c>
      <c r="K11" s="121">
        <f>SUBTOTAL(109,EXAMES[OUT])</f>
        <v>23399</v>
      </c>
      <c r="L11" s="121">
        <f>SUBTOTAL(109,EXAMES[NOV])</f>
        <v>23175</v>
      </c>
      <c r="M11" s="121">
        <f>SUBTOTAL(109,EXAMES[DEZ])</f>
        <v>24204</v>
      </c>
      <c r="N11" s="133">
        <f>SUBTOTAL(109,EXAMES[2019])</f>
        <v>264156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462300"/>
  </sheetPr>
  <dimension ref="A1:O11"/>
  <sheetViews>
    <sheetView workbookViewId="0">
      <selection sqref="A1:O1"/>
    </sheetView>
  </sheetViews>
  <sheetFormatPr defaultRowHeight="11.25" x14ac:dyDescent="0.2"/>
  <cols>
    <col min="1" max="1" width="12.85546875" style="1" bestFit="1" customWidth="1"/>
    <col min="2" max="16384" width="9.140625" style="1"/>
  </cols>
  <sheetData>
    <row r="1" spans="1:15" ht="20.25" thickTop="1" thickBot="1" x14ac:dyDescent="0.35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5" ht="17.25" thickTop="1" thickBot="1" x14ac:dyDescent="0.3">
      <c r="A2" s="180" t="s">
        <v>259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1:15" ht="12" thickTop="1" x14ac:dyDescent="0.2">
      <c r="A3" s="6" t="s">
        <v>35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241</v>
      </c>
      <c r="O3" s="21" t="s">
        <v>252</v>
      </c>
    </row>
    <row r="4" spans="1:15" x14ac:dyDescent="0.2">
      <c r="A4" s="6" t="s">
        <v>53</v>
      </c>
      <c r="B4" s="12">
        <v>480</v>
      </c>
      <c r="C4" s="12">
        <v>415</v>
      </c>
      <c r="D4" s="12">
        <v>594</v>
      </c>
      <c r="E4" s="12">
        <v>384</v>
      </c>
      <c r="F4" s="12">
        <v>323</v>
      </c>
      <c r="G4" s="12">
        <v>255</v>
      </c>
      <c r="H4" s="12">
        <v>331</v>
      </c>
      <c r="I4" s="12">
        <v>393</v>
      </c>
      <c r="J4" s="12">
        <v>241</v>
      </c>
      <c r="K4" s="12">
        <v>340</v>
      </c>
      <c r="L4" s="12">
        <v>246</v>
      </c>
      <c r="M4" s="12">
        <v>207</v>
      </c>
      <c r="N4" s="3">
        <f>SUM(CIR_ESPEC13[[#This Row],[JAN]:[DEZ]])</f>
        <v>4209</v>
      </c>
      <c r="O4" s="8">
        <f>CIR_ESPEC13[[#This Row],[2019]]/CIR_ESPEC13[[#Totals],[2019]]</f>
        <v>0.2933918862400669</v>
      </c>
    </row>
    <row r="5" spans="1:15" x14ac:dyDescent="0.2">
      <c r="A5" s="6" t="s">
        <v>54</v>
      </c>
      <c r="B5" s="12">
        <v>613</v>
      </c>
      <c r="C5" s="12">
        <v>566</v>
      </c>
      <c r="D5" s="12">
        <v>679</v>
      </c>
      <c r="E5" s="12">
        <v>731</v>
      </c>
      <c r="F5" s="12">
        <v>779</v>
      </c>
      <c r="G5" s="12">
        <v>762</v>
      </c>
      <c r="H5" s="12">
        <v>927</v>
      </c>
      <c r="I5" s="12">
        <v>971</v>
      </c>
      <c r="J5" s="12">
        <v>996</v>
      </c>
      <c r="K5" s="12">
        <v>1154</v>
      </c>
      <c r="L5" s="12">
        <v>1051</v>
      </c>
      <c r="M5" s="12">
        <v>908</v>
      </c>
      <c r="N5" s="3">
        <f>SUM(CIR_ESPEC13[[#This Row],[JAN]:[DEZ]])</f>
        <v>10137</v>
      </c>
      <c r="O5" s="8">
        <f>CIR_ESPEC13[[#This Row],[2019]]/CIR_ESPEC13[[#Totals],[2019]]</f>
        <v>0.70660811375993304</v>
      </c>
    </row>
    <row r="6" spans="1:15" ht="12" thickBot="1" x14ac:dyDescent="0.25">
      <c r="A6" s="142"/>
      <c r="B6" s="144">
        <f>SUM(CIR_ESPEC13[JAN])</f>
        <v>1093</v>
      </c>
      <c r="C6" s="144">
        <f>SUM(CIR_ESPEC13[FEV])</f>
        <v>981</v>
      </c>
      <c r="D6" s="144">
        <f>SUM(CIR_ESPEC13[MAR])</f>
        <v>1273</v>
      </c>
      <c r="E6" s="144">
        <f>SUM(CIR_ESPEC13[ABR])</f>
        <v>1115</v>
      </c>
      <c r="F6" s="144">
        <f>SUM(CIR_ESPEC13[MAI])</f>
        <v>1102</v>
      </c>
      <c r="G6" s="144">
        <f>SUM(CIR_ESPEC13[JUN])</f>
        <v>1017</v>
      </c>
      <c r="H6" s="144">
        <f>SUM(CIR_ESPEC13[JUL])</f>
        <v>1258</v>
      </c>
      <c r="I6" s="144">
        <f>SUM(CIR_ESPEC13[AGO])</f>
        <v>1364</v>
      </c>
      <c r="J6" s="144">
        <f>SUM(CIR_ESPEC13[SET])</f>
        <v>1237</v>
      </c>
      <c r="K6" s="144">
        <f>SUM(CIR_ESPEC13[OUT])</f>
        <v>1494</v>
      </c>
      <c r="L6" s="144">
        <f>SUM(CIR_ESPEC13[NOV])</f>
        <v>1297</v>
      </c>
      <c r="M6" s="144">
        <f>SUM(CIR_ESPEC13[DEZ])</f>
        <v>1115</v>
      </c>
      <c r="N6" s="147">
        <f>SUM(CIR_ESPEC13[2019])</f>
        <v>14346</v>
      </c>
      <c r="O6" s="148">
        <f>SUM(CIR_ESPEC13[2019 (%)])</f>
        <v>1</v>
      </c>
    </row>
    <row r="7" spans="1:15" ht="17.25" thickTop="1" thickBot="1" x14ac:dyDescent="0.3">
      <c r="A7" s="184" t="s">
        <v>260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6"/>
    </row>
    <row r="8" spans="1:15" ht="12" thickTop="1" x14ac:dyDescent="0.2">
      <c r="A8" s="1" t="s">
        <v>212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2" t="s">
        <v>241</v>
      </c>
      <c r="O8" s="2" t="s">
        <v>244</v>
      </c>
    </row>
    <row r="9" spans="1:15" x14ac:dyDescent="0.2">
      <c r="A9" s="1" t="s">
        <v>208</v>
      </c>
      <c r="B9" s="9">
        <v>321</v>
      </c>
      <c r="C9" s="9">
        <v>249</v>
      </c>
      <c r="D9" s="9">
        <v>363</v>
      </c>
      <c r="E9" s="9">
        <v>269</v>
      </c>
      <c r="F9" s="9">
        <v>167</v>
      </c>
      <c r="G9" s="9">
        <v>122</v>
      </c>
      <c r="H9" s="9">
        <v>166</v>
      </c>
      <c r="I9" s="9">
        <v>270</v>
      </c>
      <c r="J9" s="9">
        <v>168</v>
      </c>
      <c r="K9" s="9">
        <v>280</v>
      </c>
      <c r="L9" s="9">
        <v>199</v>
      </c>
      <c r="M9" s="9">
        <v>166</v>
      </c>
      <c r="N9" s="14">
        <f>SUM(TEvoG[[#This Row],[JAN]:[DEZ]])</f>
        <v>2740</v>
      </c>
      <c r="O9" s="63">
        <f>TEvoG[[#This Row],[2019]]/TEvoG[[#Totals],[2019]]</f>
        <v>0.31768115942028985</v>
      </c>
    </row>
    <row r="10" spans="1:15" x14ac:dyDescent="0.2">
      <c r="A10" s="1" t="s">
        <v>213</v>
      </c>
      <c r="B10" s="9">
        <v>408</v>
      </c>
      <c r="C10" s="9">
        <v>256</v>
      </c>
      <c r="D10" s="9">
        <v>343</v>
      </c>
      <c r="E10" s="9">
        <v>328</v>
      </c>
      <c r="F10" s="9">
        <v>367</v>
      </c>
      <c r="G10" s="9">
        <v>483</v>
      </c>
      <c r="H10" s="9">
        <v>578</v>
      </c>
      <c r="I10" s="9">
        <v>617</v>
      </c>
      <c r="J10" s="9">
        <v>656</v>
      </c>
      <c r="K10" s="9">
        <v>700</v>
      </c>
      <c r="L10" s="9">
        <v>660</v>
      </c>
      <c r="M10" s="9">
        <v>489</v>
      </c>
      <c r="N10" s="14">
        <f>SUM(TEvoG[[#This Row],[JAN]:[DEZ]])</f>
        <v>5885</v>
      </c>
      <c r="O10" s="63">
        <f>TEvoG[[#This Row],[2019]]/TEvoG[[#Totals],[2019]]</f>
        <v>0.68231884057971015</v>
      </c>
    </row>
    <row r="11" spans="1:15" x14ac:dyDescent="0.2">
      <c r="A11" s="118"/>
      <c r="B11" s="119">
        <f>SUBTOTAL(109,TEvoG[JAN])</f>
        <v>729</v>
      </c>
      <c r="C11" s="119">
        <f>SUBTOTAL(109,TEvoG[FEV])</f>
        <v>505</v>
      </c>
      <c r="D11" s="119">
        <f>SUBTOTAL(109,TEvoG[MAR])</f>
        <v>706</v>
      </c>
      <c r="E11" s="119">
        <f>SUBTOTAL(109,TEvoG[ABR])</f>
        <v>597</v>
      </c>
      <c r="F11" s="119">
        <f>SUBTOTAL(109,TEvoG[MAI])</f>
        <v>534</v>
      </c>
      <c r="G11" s="119">
        <f>SUBTOTAL(109,TEvoG[JUN])</f>
        <v>605</v>
      </c>
      <c r="H11" s="119">
        <f>SUBTOTAL(109,TEvoG[JUL])</f>
        <v>744</v>
      </c>
      <c r="I11" s="119">
        <f>SUBTOTAL(109,TEvoG[AGO])</f>
        <v>887</v>
      </c>
      <c r="J11" s="119">
        <f>SUBTOTAL(109,TEvoG[SET])</f>
        <v>824</v>
      </c>
      <c r="K11" s="119">
        <f>SUBTOTAL(109,TEvoG[OUT])</f>
        <v>980</v>
      </c>
      <c r="L11" s="119">
        <f>SUBTOTAL(109,TEvoG[NOV])</f>
        <v>859</v>
      </c>
      <c r="M11" s="119">
        <f>SUBTOTAL(109,TEvoG[DEZ])</f>
        <v>655</v>
      </c>
      <c r="N11" s="120">
        <f>SUBTOTAL(109,TEvoG[2019])</f>
        <v>8625</v>
      </c>
      <c r="O11" s="122"/>
    </row>
  </sheetData>
  <sheetProtection autoFilter="0"/>
  <mergeCells count="3">
    <mergeCell ref="A2:O2"/>
    <mergeCell ref="A1:O1"/>
    <mergeCell ref="A7:O7"/>
  </mergeCells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5" tint="0.59999389629810485"/>
  </sheetPr>
  <dimension ref="A1:N38"/>
  <sheetViews>
    <sheetView workbookViewId="0">
      <selection sqref="A1:N1"/>
    </sheetView>
  </sheetViews>
  <sheetFormatPr defaultRowHeight="11.25" x14ac:dyDescent="0.2"/>
  <cols>
    <col min="1" max="1" width="34.7109375" style="1" bestFit="1" customWidth="1"/>
    <col min="2" max="16384" width="9.140625" style="1"/>
  </cols>
  <sheetData>
    <row r="1" spans="1:14" ht="19.5" thickBot="1" x14ac:dyDescent="0.25">
      <c r="A1" s="187" t="s">
        <v>261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4" ht="12" thickTop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241</v>
      </c>
    </row>
    <row r="3" spans="1:14" x14ac:dyDescent="0.2">
      <c r="A3" s="118" t="s">
        <v>211</v>
      </c>
      <c r="B3" s="119">
        <v>0</v>
      </c>
      <c r="C3" s="119">
        <v>0</v>
      </c>
      <c r="D3" s="119">
        <v>0</v>
      </c>
      <c r="E3" s="119">
        <v>0</v>
      </c>
      <c r="F3" s="119">
        <v>0</v>
      </c>
      <c r="G3" s="119">
        <v>0</v>
      </c>
      <c r="H3" s="119">
        <v>0</v>
      </c>
      <c r="I3" s="119">
        <v>2</v>
      </c>
      <c r="J3" s="119">
        <v>0</v>
      </c>
      <c r="K3" s="119">
        <v>0</v>
      </c>
      <c r="L3" s="119">
        <v>0</v>
      </c>
      <c r="M3" s="119">
        <v>0</v>
      </c>
      <c r="N3" s="119">
        <f>SUM(Tabela266[[#This Row],[JAN]:[DEZ]])</f>
        <v>2</v>
      </c>
    </row>
    <row r="4" spans="1:14" x14ac:dyDescent="0.2">
      <c r="A4" s="1" t="s">
        <v>14</v>
      </c>
      <c r="B4" s="9">
        <v>252</v>
      </c>
      <c r="C4" s="9">
        <v>368</v>
      </c>
      <c r="D4" s="9">
        <v>353</v>
      </c>
      <c r="E4" s="9">
        <v>381</v>
      </c>
      <c r="F4" s="9">
        <v>467</v>
      </c>
      <c r="G4" s="9">
        <v>373</v>
      </c>
      <c r="H4" s="9">
        <v>326</v>
      </c>
      <c r="I4" s="9">
        <v>495</v>
      </c>
      <c r="J4" s="9">
        <v>587</v>
      </c>
      <c r="K4" s="9">
        <v>610</v>
      </c>
      <c r="L4" s="9">
        <v>713</v>
      </c>
      <c r="M4" s="9">
        <v>510</v>
      </c>
      <c r="N4" s="9">
        <f>SUM(Tabela266[[#This Row],[JAN]:[DEZ]])</f>
        <v>5435</v>
      </c>
    </row>
    <row r="5" spans="1:14" x14ac:dyDescent="0.2">
      <c r="A5" s="1" t="s">
        <v>15</v>
      </c>
      <c r="B5" s="9">
        <v>95</v>
      </c>
      <c r="C5" s="9">
        <v>186</v>
      </c>
      <c r="D5" s="9">
        <v>303</v>
      </c>
      <c r="E5" s="9">
        <v>431</v>
      </c>
      <c r="F5" s="9">
        <v>299</v>
      </c>
      <c r="G5" s="9">
        <v>263</v>
      </c>
      <c r="H5" s="9">
        <v>192</v>
      </c>
      <c r="I5" s="9">
        <v>158</v>
      </c>
      <c r="J5" s="9">
        <v>237</v>
      </c>
      <c r="K5" s="9">
        <v>342</v>
      </c>
      <c r="L5" s="9">
        <v>321</v>
      </c>
      <c r="M5" s="9">
        <v>325</v>
      </c>
      <c r="N5" s="9">
        <f>SUM(Tabela266[[#This Row],[JAN]:[DEZ]])</f>
        <v>3152</v>
      </c>
    </row>
    <row r="6" spans="1:14" x14ac:dyDescent="0.2">
      <c r="A6" s="1" t="s">
        <v>16</v>
      </c>
      <c r="B6" s="9">
        <v>236</v>
      </c>
      <c r="C6" s="9">
        <v>139</v>
      </c>
      <c r="D6" s="9">
        <v>641</v>
      </c>
      <c r="E6" s="9">
        <v>708</v>
      </c>
      <c r="F6" s="9">
        <v>952</v>
      </c>
      <c r="G6" s="9">
        <v>760</v>
      </c>
      <c r="H6" s="9">
        <v>383</v>
      </c>
      <c r="I6" s="9">
        <v>421</v>
      </c>
      <c r="J6" s="9">
        <v>841</v>
      </c>
      <c r="K6" s="9">
        <v>942</v>
      </c>
      <c r="L6" s="9">
        <v>705</v>
      </c>
      <c r="M6" s="9">
        <v>805</v>
      </c>
      <c r="N6" s="9">
        <f>SUM(Tabela266[[#This Row],[JAN]:[DEZ]])</f>
        <v>7533</v>
      </c>
    </row>
    <row r="7" spans="1:14" x14ac:dyDescent="0.2">
      <c r="A7" s="1" t="s">
        <v>17</v>
      </c>
      <c r="B7" s="9">
        <v>823</v>
      </c>
      <c r="C7" s="9">
        <v>845</v>
      </c>
      <c r="D7" s="9">
        <v>941</v>
      </c>
      <c r="E7" s="9">
        <v>929</v>
      </c>
      <c r="F7" s="9">
        <v>846</v>
      </c>
      <c r="G7" s="9">
        <v>805</v>
      </c>
      <c r="H7" s="9">
        <v>800</v>
      </c>
      <c r="I7" s="9">
        <v>827</v>
      </c>
      <c r="J7" s="9">
        <v>828</v>
      </c>
      <c r="K7" s="9">
        <v>874</v>
      </c>
      <c r="L7" s="9">
        <v>815</v>
      </c>
      <c r="M7" s="9">
        <v>864</v>
      </c>
      <c r="N7" s="9">
        <f>SUM(Tabela266[[#This Row],[JAN]:[DEZ]])</f>
        <v>10197</v>
      </c>
    </row>
    <row r="8" spans="1:14" x14ac:dyDescent="0.2">
      <c r="A8" s="1" t="s">
        <v>167</v>
      </c>
      <c r="B8" s="9">
        <v>325</v>
      </c>
      <c r="C8" s="9">
        <v>491</v>
      </c>
      <c r="D8" s="9">
        <v>446</v>
      </c>
      <c r="E8" s="9">
        <v>398</v>
      </c>
      <c r="F8" s="9">
        <v>313</v>
      </c>
      <c r="G8" s="9">
        <v>254</v>
      </c>
      <c r="H8" s="9">
        <v>243</v>
      </c>
      <c r="I8" s="9">
        <v>272</v>
      </c>
      <c r="J8" s="9">
        <v>244</v>
      </c>
      <c r="K8" s="9">
        <v>239</v>
      </c>
      <c r="L8" s="9">
        <v>234</v>
      </c>
      <c r="M8" s="9">
        <v>193</v>
      </c>
      <c r="N8" s="9">
        <f>SUM(Tabela266[[#This Row],[JAN]:[DEZ]])</f>
        <v>3652</v>
      </c>
    </row>
    <row r="9" spans="1:14" x14ac:dyDescent="0.2">
      <c r="A9" s="1" t="s">
        <v>165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f>SUM(Tabela266[[#This Row],[JAN]:[DEZ]])</f>
        <v>0</v>
      </c>
    </row>
    <row r="10" spans="1:14" x14ac:dyDescent="0.2">
      <c r="A10" s="1" t="s">
        <v>166</v>
      </c>
      <c r="B10" s="9">
        <v>6</v>
      </c>
      <c r="C10" s="9">
        <v>5</v>
      </c>
      <c r="D10" s="9">
        <v>1</v>
      </c>
      <c r="E10" s="9">
        <v>0</v>
      </c>
      <c r="F10" s="9">
        <v>3</v>
      </c>
      <c r="G10" s="9">
        <v>0</v>
      </c>
      <c r="H10" s="9">
        <v>2</v>
      </c>
      <c r="I10" s="9">
        <v>0</v>
      </c>
      <c r="J10" s="9">
        <v>1</v>
      </c>
      <c r="K10" s="9">
        <v>2</v>
      </c>
      <c r="L10" s="9">
        <v>0</v>
      </c>
      <c r="M10" s="9">
        <v>0</v>
      </c>
      <c r="N10" s="9">
        <f>SUM(Tabela266[[#This Row],[JAN]:[DEZ]])</f>
        <v>20</v>
      </c>
    </row>
    <row r="11" spans="1:14" x14ac:dyDescent="0.2">
      <c r="A11" s="1" t="s">
        <v>168</v>
      </c>
      <c r="B11" s="9">
        <v>107</v>
      </c>
      <c r="C11" s="9">
        <v>123</v>
      </c>
      <c r="D11" s="9">
        <v>29</v>
      </c>
      <c r="E11" s="9">
        <v>21</v>
      </c>
      <c r="F11" s="9">
        <v>22</v>
      </c>
      <c r="G11" s="9">
        <v>44</v>
      </c>
      <c r="H11" s="9">
        <v>11</v>
      </c>
      <c r="I11" s="9">
        <v>64</v>
      </c>
      <c r="J11" s="9">
        <v>94</v>
      </c>
      <c r="K11" s="9">
        <v>56</v>
      </c>
      <c r="L11" s="9">
        <v>78</v>
      </c>
      <c r="M11" s="9">
        <v>34</v>
      </c>
      <c r="N11" s="9">
        <f>SUM(Tabela266[[#This Row],[JAN]:[DEZ]])</f>
        <v>683</v>
      </c>
    </row>
    <row r="12" spans="1:14" x14ac:dyDescent="0.2">
      <c r="A12" s="118"/>
      <c r="B12" s="119">
        <f>SUBTOTAL(109,Tabela266[JAN])</f>
        <v>1844</v>
      </c>
      <c r="C12" s="119">
        <f>SUBTOTAL(109,Tabela266[FEV])</f>
        <v>2157</v>
      </c>
      <c r="D12" s="119">
        <f>SUBTOTAL(109,Tabela266[MAR])</f>
        <v>2714</v>
      </c>
      <c r="E12" s="119">
        <f>SUBTOTAL(109,Tabela266[ABR])</f>
        <v>2868</v>
      </c>
      <c r="F12" s="119">
        <f>SUBTOTAL(109,Tabela266[MAI])</f>
        <v>2902</v>
      </c>
      <c r="G12" s="119">
        <f>SUBTOTAL(109,Tabela266[JUN])</f>
        <v>2499</v>
      </c>
      <c r="H12" s="119">
        <f>SUBTOTAL(109,Tabela266[JUL])</f>
        <v>1957</v>
      </c>
      <c r="I12" s="119">
        <f>SUBTOTAL(109,Tabela266[AGO])</f>
        <v>2239</v>
      </c>
      <c r="J12" s="119">
        <f>SUBTOTAL(109,Tabela266[SET])</f>
        <v>2832</v>
      </c>
      <c r="K12" s="119">
        <f>SUBTOTAL(109,Tabela266[OUT])</f>
        <v>3065</v>
      </c>
      <c r="L12" s="119">
        <f>SUBTOTAL(109,Tabela266[NOV])</f>
        <v>2866</v>
      </c>
      <c r="M12" s="119">
        <f>SUBTOTAL(109,Tabela266[DEZ])</f>
        <v>2731</v>
      </c>
      <c r="N12" s="119">
        <f>SUBTOTAL(109,Tabela266[2019])</f>
        <v>30674</v>
      </c>
    </row>
    <row r="14" spans="1:14" ht="19.5" thickBot="1" x14ac:dyDescent="0.25">
      <c r="A14" s="187" t="s">
        <v>262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</row>
    <row r="15" spans="1:14" ht="12" thickTop="1" x14ac:dyDescent="0.2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241</v>
      </c>
    </row>
    <row r="16" spans="1:14" x14ac:dyDescent="0.2">
      <c r="A16" s="118" t="s">
        <v>211</v>
      </c>
      <c r="B16" s="119">
        <v>0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1</v>
      </c>
      <c r="K16" s="119">
        <v>0</v>
      </c>
      <c r="L16" s="119">
        <v>0</v>
      </c>
      <c r="M16" s="119">
        <v>0</v>
      </c>
      <c r="N16" s="119">
        <f>SUM(Tabela2467[[#This Row],[JAN]:[DEZ]])</f>
        <v>1</v>
      </c>
    </row>
    <row r="17" spans="1:14" x14ac:dyDescent="0.2">
      <c r="A17" s="1" t="s">
        <v>14</v>
      </c>
      <c r="B17" s="9">
        <v>79</v>
      </c>
      <c r="C17" s="9">
        <v>14</v>
      </c>
      <c r="D17" s="9">
        <v>112</v>
      </c>
      <c r="E17" s="9">
        <v>124</v>
      </c>
      <c r="F17" s="9">
        <v>141</v>
      </c>
      <c r="G17" s="9">
        <v>102</v>
      </c>
      <c r="H17" s="9">
        <v>40</v>
      </c>
      <c r="I17" s="9">
        <v>114</v>
      </c>
      <c r="J17" s="9">
        <v>85</v>
      </c>
      <c r="K17" s="9">
        <v>133</v>
      </c>
      <c r="L17" s="9">
        <v>92</v>
      </c>
      <c r="M17" s="9">
        <v>124</v>
      </c>
      <c r="N17" s="9">
        <f>SUM(Tabela2467[[#This Row],[JAN]:[DEZ]])</f>
        <v>1160</v>
      </c>
    </row>
    <row r="18" spans="1:14" x14ac:dyDescent="0.2">
      <c r="A18" s="1" t="s">
        <v>15</v>
      </c>
      <c r="B18" s="9">
        <v>66</v>
      </c>
      <c r="C18" s="9">
        <v>127</v>
      </c>
      <c r="D18" s="9">
        <v>120</v>
      </c>
      <c r="E18" s="9">
        <v>119</v>
      </c>
      <c r="F18" s="9">
        <v>114</v>
      </c>
      <c r="G18" s="9">
        <v>100</v>
      </c>
      <c r="H18" s="9">
        <v>62</v>
      </c>
      <c r="I18" s="9">
        <v>118</v>
      </c>
      <c r="J18" s="9">
        <v>126</v>
      </c>
      <c r="K18" s="9">
        <v>85</v>
      </c>
      <c r="L18" s="9">
        <v>144</v>
      </c>
      <c r="M18" s="9">
        <v>132</v>
      </c>
      <c r="N18" s="9">
        <f>SUM(Tabela2467[[#This Row],[JAN]:[DEZ]])</f>
        <v>1313</v>
      </c>
    </row>
    <row r="19" spans="1:14" x14ac:dyDescent="0.2">
      <c r="A19" s="1" t="s">
        <v>16</v>
      </c>
      <c r="B19" s="9">
        <v>1</v>
      </c>
      <c r="C19" s="9">
        <v>0</v>
      </c>
      <c r="D19" s="9">
        <v>4</v>
      </c>
      <c r="E19" s="9">
        <v>0</v>
      </c>
      <c r="F19" s="9">
        <v>2</v>
      </c>
      <c r="G19" s="9">
        <v>0</v>
      </c>
      <c r="H19" s="9">
        <v>1</v>
      </c>
      <c r="I19" s="9">
        <v>0</v>
      </c>
      <c r="J19" s="9">
        <v>3</v>
      </c>
      <c r="K19" s="9">
        <v>7</v>
      </c>
      <c r="L19" s="9">
        <v>0</v>
      </c>
      <c r="M19" s="9">
        <v>0</v>
      </c>
      <c r="N19" s="9">
        <f>SUM(Tabela2467[[#This Row],[JAN]:[DEZ]])</f>
        <v>18</v>
      </c>
    </row>
    <row r="20" spans="1:14" x14ac:dyDescent="0.2">
      <c r="A20" s="1" t="s">
        <v>17</v>
      </c>
      <c r="B20" s="9">
        <v>135</v>
      </c>
      <c r="C20" s="9">
        <v>100</v>
      </c>
      <c r="D20" s="9">
        <v>62</v>
      </c>
      <c r="E20" s="9">
        <v>108</v>
      </c>
      <c r="F20" s="9">
        <v>124</v>
      </c>
      <c r="G20" s="9">
        <v>110</v>
      </c>
      <c r="H20" s="9">
        <v>181</v>
      </c>
      <c r="I20" s="9">
        <v>108</v>
      </c>
      <c r="J20" s="9">
        <v>217</v>
      </c>
      <c r="K20" s="9">
        <v>87</v>
      </c>
      <c r="L20" s="9">
        <v>89</v>
      </c>
      <c r="M20" s="9">
        <v>109</v>
      </c>
      <c r="N20" s="9">
        <f>SUM(Tabela2467[[#This Row],[JAN]:[DEZ]])</f>
        <v>1430</v>
      </c>
    </row>
    <row r="21" spans="1:14" x14ac:dyDescent="0.2">
      <c r="A21" s="1" t="s">
        <v>167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4</v>
      </c>
      <c r="H21" s="9">
        <v>7</v>
      </c>
      <c r="I21" s="9">
        <v>1</v>
      </c>
      <c r="J21" s="9">
        <v>2</v>
      </c>
      <c r="K21" s="9">
        <v>0</v>
      </c>
      <c r="L21" s="9">
        <v>0</v>
      </c>
      <c r="M21" s="9">
        <v>3</v>
      </c>
      <c r="N21" s="9">
        <f>SUM(Tabela2467[[#This Row],[JAN]:[DEZ]])</f>
        <v>17</v>
      </c>
    </row>
    <row r="22" spans="1:14" x14ac:dyDescent="0.2">
      <c r="A22" s="1" t="s">
        <v>165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f>SUM(Tabela2467[[#This Row],[JAN]:[DEZ]])</f>
        <v>0</v>
      </c>
    </row>
    <row r="23" spans="1:14" x14ac:dyDescent="0.2">
      <c r="A23" s="1" t="s">
        <v>166</v>
      </c>
      <c r="B23" s="9">
        <v>0</v>
      </c>
      <c r="C23" s="9">
        <v>6</v>
      </c>
      <c r="D23" s="9">
        <v>0</v>
      </c>
      <c r="E23" s="9">
        <v>1</v>
      </c>
      <c r="F23" s="9">
        <v>25</v>
      </c>
      <c r="G23" s="9">
        <v>0</v>
      </c>
      <c r="H23" s="9">
        <v>12</v>
      </c>
      <c r="I23" s="9">
        <v>0</v>
      </c>
      <c r="J23" s="9">
        <v>0</v>
      </c>
      <c r="K23" s="9">
        <v>91</v>
      </c>
      <c r="L23" s="9">
        <v>0</v>
      </c>
      <c r="M23" s="9">
        <v>0</v>
      </c>
      <c r="N23" s="9">
        <f>SUM(Tabela2467[[#This Row],[JAN]:[DEZ]])</f>
        <v>135</v>
      </c>
    </row>
    <row r="24" spans="1:14" x14ac:dyDescent="0.2">
      <c r="A24" s="1" t="s">
        <v>168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20</v>
      </c>
      <c r="H24" s="9">
        <v>7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f>SUM(Tabela2467[[#This Row],[JAN]:[DEZ]])</f>
        <v>27</v>
      </c>
    </row>
    <row r="25" spans="1:14" x14ac:dyDescent="0.2">
      <c r="A25" s="118"/>
      <c r="B25" s="119">
        <f>SUBTOTAL(109,Tabela2467[JAN])</f>
        <v>281</v>
      </c>
      <c r="C25" s="119">
        <f>SUBTOTAL(109,Tabela2467[FEV])</f>
        <v>247</v>
      </c>
      <c r="D25" s="119">
        <f>SUBTOTAL(109,Tabela2467[MAR])</f>
        <v>298</v>
      </c>
      <c r="E25" s="119">
        <f>SUBTOTAL(109,Tabela2467[ABR])</f>
        <v>352</v>
      </c>
      <c r="F25" s="119">
        <f>SUBTOTAL(109,Tabela2467[MAI])</f>
        <v>406</v>
      </c>
      <c r="G25" s="119">
        <f>SUBTOTAL(109,Tabela2467[JUN])</f>
        <v>336</v>
      </c>
      <c r="H25" s="119">
        <f>SUBTOTAL(109,Tabela2467[JUL])</f>
        <v>310</v>
      </c>
      <c r="I25" s="119">
        <f>SUBTOTAL(109,Tabela2467[AGO])</f>
        <v>341</v>
      </c>
      <c r="J25" s="119">
        <f>SUBTOTAL(109,Tabela2467[SET])</f>
        <v>434</v>
      </c>
      <c r="K25" s="119">
        <f>SUBTOTAL(109,Tabela2467[OUT])</f>
        <v>403</v>
      </c>
      <c r="L25" s="119">
        <f>SUBTOTAL(109,Tabela2467[NOV])</f>
        <v>325</v>
      </c>
      <c r="M25" s="119">
        <f>SUBTOTAL(109,Tabela2467[DEZ])</f>
        <v>368</v>
      </c>
      <c r="N25" s="119">
        <f>SUBTOTAL(109,Tabela2467[2019])</f>
        <v>4101</v>
      </c>
    </row>
    <row r="27" spans="1:14" ht="19.5" thickBot="1" x14ac:dyDescent="0.25">
      <c r="A27" s="187" t="s">
        <v>263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</row>
    <row r="28" spans="1:14" ht="12" thickTop="1" x14ac:dyDescent="0.2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241</v>
      </c>
    </row>
    <row r="29" spans="1:14" x14ac:dyDescent="0.2">
      <c r="A29" s="118" t="s">
        <v>211</v>
      </c>
      <c r="B29" s="119">
        <v>0</v>
      </c>
      <c r="C29" s="119">
        <v>0</v>
      </c>
      <c r="D29" s="119">
        <v>0</v>
      </c>
      <c r="E29" s="119">
        <v>0</v>
      </c>
      <c r="F29" s="119">
        <v>0</v>
      </c>
      <c r="G29" s="119">
        <v>0</v>
      </c>
      <c r="H29" s="119">
        <v>0</v>
      </c>
      <c r="I29" s="119">
        <v>0</v>
      </c>
      <c r="J29" s="119">
        <v>1</v>
      </c>
      <c r="K29" s="119">
        <v>0</v>
      </c>
      <c r="L29" s="119">
        <v>0</v>
      </c>
      <c r="M29" s="119">
        <v>0</v>
      </c>
      <c r="N29" s="119">
        <f>SUM(Tabela245[[#This Row],[JAN]:[DEZ]])</f>
        <v>1</v>
      </c>
    </row>
    <row r="30" spans="1:14" x14ac:dyDescent="0.2">
      <c r="A30" s="1" t="s">
        <v>14</v>
      </c>
      <c r="B30" s="9">
        <v>59</v>
      </c>
      <c r="C30" s="9">
        <v>86</v>
      </c>
      <c r="D30" s="9">
        <v>90</v>
      </c>
      <c r="E30" s="9">
        <v>126</v>
      </c>
      <c r="F30" s="9">
        <v>112</v>
      </c>
      <c r="G30" s="9">
        <v>108</v>
      </c>
      <c r="H30" s="9">
        <v>107</v>
      </c>
      <c r="I30" s="9">
        <v>157</v>
      </c>
      <c r="J30" s="9">
        <v>144</v>
      </c>
      <c r="K30" s="9">
        <v>112</v>
      </c>
      <c r="L30" s="9">
        <v>121</v>
      </c>
      <c r="M30" s="9">
        <v>104</v>
      </c>
      <c r="N30" s="9">
        <f>SUM(Tabela245[[#This Row],[JAN]:[DEZ]])</f>
        <v>1326</v>
      </c>
    </row>
    <row r="31" spans="1:14" x14ac:dyDescent="0.2">
      <c r="A31" s="1" t="s">
        <v>15</v>
      </c>
      <c r="B31" s="9">
        <v>50</v>
      </c>
      <c r="C31" s="9">
        <v>95</v>
      </c>
      <c r="D31" s="9">
        <v>93</v>
      </c>
      <c r="E31" s="9">
        <v>135</v>
      </c>
      <c r="F31" s="9">
        <v>122</v>
      </c>
      <c r="G31" s="9">
        <v>103</v>
      </c>
      <c r="H31" s="9">
        <v>71</v>
      </c>
      <c r="I31" s="9">
        <v>118</v>
      </c>
      <c r="J31" s="9">
        <v>147</v>
      </c>
      <c r="K31" s="9">
        <v>100</v>
      </c>
      <c r="L31" s="9">
        <v>80</v>
      </c>
      <c r="M31" s="9">
        <v>72</v>
      </c>
      <c r="N31" s="9">
        <f>SUM(Tabela245[[#This Row],[JAN]:[DEZ]])</f>
        <v>1186</v>
      </c>
    </row>
    <row r="32" spans="1:14" x14ac:dyDescent="0.2">
      <c r="A32" s="1" t="s">
        <v>16</v>
      </c>
      <c r="B32" s="9">
        <v>8</v>
      </c>
      <c r="C32" s="9">
        <v>6</v>
      </c>
      <c r="D32" s="9">
        <v>35</v>
      </c>
      <c r="E32" s="9">
        <v>15</v>
      </c>
      <c r="F32" s="9">
        <v>11</v>
      </c>
      <c r="G32" s="9">
        <v>26</v>
      </c>
      <c r="H32" s="9">
        <v>26</v>
      </c>
      <c r="I32" s="9">
        <v>16</v>
      </c>
      <c r="J32" s="9">
        <v>31</v>
      </c>
      <c r="K32" s="9">
        <v>6</v>
      </c>
      <c r="L32" s="9">
        <v>9</v>
      </c>
      <c r="M32" s="9">
        <v>9</v>
      </c>
      <c r="N32" s="9">
        <f>SUM(Tabela245[[#This Row],[JAN]:[DEZ]])</f>
        <v>198</v>
      </c>
    </row>
    <row r="33" spans="1:14" x14ac:dyDescent="0.2">
      <c r="A33" s="1" t="s">
        <v>17</v>
      </c>
      <c r="B33" s="9">
        <v>25</v>
      </c>
      <c r="C33" s="9">
        <v>46</v>
      </c>
      <c r="D33" s="9">
        <v>29</v>
      </c>
      <c r="E33" s="9">
        <v>24</v>
      </c>
      <c r="F33" s="9">
        <v>36</v>
      </c>
      <c r="G33" s="9">
        <v>31</v>
      </c>
      <c r="H33" s="9">
        <v>35</v>
      </c>
      <c r="I33" s="9">
        <v>22</v>
      </c>
      <c r="J33" s="9">
        <v>42</v>
      </c>
      <c r="K33" s="9">
        <v>27</v>
      </c>
      <c r="L33" s="9">
        <v>42</v>
      </c>
      <c r="M33" s="9">
        <v>43</v>
      </c>
      <c r="N33" s="9">
        <f>SUM(Tabela245[[#This Row],[JAN]:[DEZ]])</f>
        <v>402</v>
      </c>
    </row>
    <row r="34" spans="1:14" x14ac:dyDescent="0.2">
      <c r="A34" s="1" t="s">
        <v>167</v>
      </c>
      <c r="B34" s="9">
        <v>2</v>
      </c>
      <c r="C34" s="9">
        <v>11</v>
      </c>
      <c r="D34" s="9">
        <v>18</v>
      </c>
      <c r="E34" s="9">
        <v>10</v>
      </c>
      <c r="F34" s="9">
        <v>13</v>
      </c>
      <c r="G34" s="9">
        <v>17</v>
      </c>
      <c r="H34" s="9">
        <v>2</v>
      </c>
      <c r="I34" s="9">
        <v>18</v>
      </c>
      <c r="J34" s="9">
        <v>21</v>
      </c>
      <c r="K34" s="9">
        <v>10</v>
      </c>
      <c r="L34" s="9">
        <v>17</v>
      </c>
      <c r="M34" s="9">
        <v>10</v>
      </c>
      <c r="N34" s="9">
        <f>SUM(Tabela245[[#This Row],[JAN]:[DEZ]])</f>
        <v>149</v>
      </c>
    </row>
    <row r="35" spans="1:14" x14ac:dyDescent="0.2">
      <c r="A35" s="1" t="s">
        <v>165</v>
      </c>
      <c r="B35" s="9">
        <v>0</v>
      </c>
      <c r="C35" s="9">
        <v>0</v>
      </c>
      <c r="D35" s="9">
        <v>6</v>
      </c>
      <c r="E35" s="9">
        <v>2</v>
      </c>
      <c r="F35" s="9">
        <v>1</v>
      </c>
      <c r="G35" s="9">
        <v>7</v>
      </c>
      <c r="H35" s="9">
        <v>5</v>
      </c>
      <c r="I35" s="9">
        <v>0</v>
      </c>
      <c r="J35" s="9">
        <v>0</v>
      </c>
      <c r="K35" s="9">
        <v>3</v>
      </c>
      <c r="L35" s="9">
        <v>3</v>
      </c>
      <c r="M35" s="9">
        <v>0</v>
      </c>
      <c r="N35" s="9">
        <f>SUM(Tabela245[[#This Row],[JAN]:[DEZ]])</f>
        <v>27</v>
      </c>
    </row>
    <row r="36" spans="1:14" x14ac:dyDescent="0.2">
      <c r="A36" s="1" t="s">
        <v>166</v>
      </c>
      <c r="B36" s="9">
        <v>7</v>
      </c>
      <c r="C36" s="9">
        <v>1</v>
      </c>
      <c r="D36" s="9">
        <v>18</v>
      </c>
      <c r="E36" s="9">
        <v>46</v>
      </c>
      <c r="F36" s="9">
        <v>42</v>
      </c>
      <c r="G36" s="9">
        <v>12</v>
      </c>
      <c r="H36" s="9">
        <v>22</v>
      </c>
      <c r="I36" s="9">
        <v>30</v>
      </c>
      <c r="J36" s="9">
        <v>29</v>
      </c>
      <c r="K36" s="9">
        <v>32</v>
      </c>
      <c r="L36" s="9">
        <v>35</v>
      </c>
      <c r="M36" s="9">
        <v>24</v>
      </c>
      <c r="N36" s="9">
        <f>SUM(Tabela245[[#This Row],[JAN]:[DEZ]])</f>
        <v>298</v>
      </c>
    </row>
    <row r="37" spans="1:14" x14ac:dyDescent="0.2">
      <c r="A37" s="1" t="s">
        <v>168</v>
      </c>
      <c r="B37" s="9">
        <v>2</v>
      </c>
      <c r="C37" s="9">
        <v>6</v>
      </c>
      <c r="D37" s="9">
        <v>1</v>
      </c>
      <c r="E37" s="9">
        <v>11</v>
      </c>
      <c r="F37" s="9">
        <v>4</v>
      </c>
      <c r="G37" s="9">
        <v>7</v>
      </c>
      <c r="H37" s="9">
        <v>6</v>
      </c>
      <c r="I37" s="9">
        <v>3</v>
      </c>
      <c r="J37" s="9">
        <v>2</v>
      </c>
      <c r="K37" s="9">
        <v>6</v>
      </c>
      <c r="L37" s="9">
        <v>12</v>
      </c>
      <c r="M37" s="9">
        <v>11</v>
      </c>
      <c r="N37" s="9">
        <f>SUM(Tabela245[[#This Row],[JAN]:[DEZ]])</f>
        <v>71</v>
      </c>
    </row>
    <row r="38" spans="1:14" x14ac:dyDescent="0.2">
      <c r="A38" s="118"/>
      <c r="B38" s="119">
        <f>SUBTOTAL(109,Tabela245[JAN])</f>
        <v>153</v>
      </c>
      <c r="C38" s="119">
        <f>SUBTOTAL(109,Tabela245[FEV])</f>
        <v>251</v>
      </c>
      <c r="D38" s="119">
        <f>SUBTOTAL(109,Tabela245[MAR])</f>
        <v>290</v>
      </c>
      <c r="E38" s="119">
        <f>SUBTOTAL(109,Tabela245[ABR])</f>
        <v>369</v>
      </c>
      <c r="F38" s="119">
        <f>SUBTOTAL(109,Tabela245[MAI])</f>
        <v>341</v>
      </c>
      <c r="G38" s="119">
        <f>SUBTOTAL(109,Tabela245[JUN])</f>
        <v>311</v>
      </c>
      <c r="H38" s="119">
        <f>SUBTOTAL(109,Tabela245[JUL])</f>
        <v>274</v>
      </c>
      <c r="I38" s="119">
        <f>SUBTOTAL(109,Tabela245[AGO])</f>
        <v>364</v>
      </c>
      <c r="J38" s="119">
        <f>SUBTOTAL(109,Tabela245[SET])</f>
        <v>417</v>
      </c>
      <c r="K38" s="119">
        <f>SUBTOTAL(109,Tabela245[OUT])</f>
        <v>296</v>
      </c>
      <c r="L38" s="119">
        <f>SUBTOTAL(109,Tabela245[NOV])</f>
        <v>319</v>
      </c>
      <c r="M38" s="119">
        <f>SUBTOTAL(109,Tabela245[DEZ])</f>
        <v>273</v>
      </c>
      <c r="N38" s="119">
        <f>SUBTOTAL(109,Tabela245[2019])</f>
        <v>3658</v>
      </c>
    </row>
  </sheetData>
  <sheetProtection autoFilter="0"/>
  <mergeCells count="3">
    <mergeCell ref="A1:N1"/>
    <mergeCell ref="A14:N14"/>
    <mergeCell ref="A27:N27"/>
  </mergeCells>
  <pageMargins left="0.511811024" right="0.511811024" top="0.78740157499999996" bottom="0.78740157499999996" header="0.31496062000000002" footer="0.31496062000000002"/>
  <pageSetup paperSize="9" orientation="portrait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12"/>
  <sheetViews>
    <sheetView workbookViewId="0">
      <selection sqref="A1:N1"/>
    </sheetView>
  </sheetViews>
  <sheetFormatPr defaultRowHeight="11.25" x14ac:dyDescent="0.2"/>
  <cols>
    <col min="1" max="1" width="34.7109375" style="1" bestFit="1" customWidth="1"/>
    <col min="2" max="16384" width="9.140625" style="1"/>
  </cols>
  <sheetData>
    <row r="1" spans="1:14" ht="19.5" thickBot="1" x14ac:dyDescent="0.25">
      <c r="A1" s="187" t="s">
        <v>264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4" ht="12" thickTop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241</v>
      </c>
    </row>
    <row r="3" spans="1:14" x14ac:dyDescent="0.2">
      <c r="A3" s="118" t="s">
        <v>211</v>
      </c>
      <c r="B3" s="119">
        <v>0</v>
      </c>
      <c r="C3" s="119">
        <v>3</v>
      </c>
      <c r="D3" s="119">
        <v>0</v>
      </c>
      <c r="E3" s="119">
        <v>0</v>
      </c>
      <c r="F3" s="119">
        <v>3</v>
      </c>
      <c r="G3" s="119">
        <v>0</v>
      </c>
      <c r="H3" s="119">
        <v>0</v>
      </c>
      <c r="I3" s="119">
        <v>0</v>
      </c>
      <c r="J3" s="119">
        <v>1</v>
      </c>
      <c r="K3" s="119">
        <v>0</v>
      </c>
      <c r="L3" s="119">
        <v>3</v>
      </c>
      <c r="M3" s="119">
        <v>0</v>
      </c>
      <c r="N3" s="119">
        <f>SUM(Tabela26668[[#This Row],[JAN]:[DEZ]])</f>
        <v>10</v>
      </c>
    </row>
    <row r="4" spans="1:14" x14ac:dyDescent="0.2">
      <c r="A4" s="1" t="s">
        <v>14</v>
      </c>
      <c r="B4" s="9">
        <v>74</v>
      </c>
      <c r="C4" s="9">
        <v>141</v>
      </c>
      <c r="D4" s="9">
        <v>121</v>
      </c>
      <c r="E4" s="9">
        <v>215</v>
      </c>
      <c r="F4" s="9">
        <v>199</v>
      </c>
      <c r="G4" s="9">
        <v>101</v>
      </c>
      <c r="H4" s="9">
        <v>181</v>
      </c>
      <c r="I4" s="9">
        <v>226</v>
      </c>
      <c r="J4" s="9">
        <v>217</v>
      </c>
      <c r="K4" s="9">
        <v>218</v>
      </c>
      <c r="L4" s="9">
        <v>163</v>
      </c>
      <c r="M4" s="9">
        <v>118</v>
      </c>
      <c r="N4" s="9">
        <f>SUM(Tabela26668[[#This Row],[JAN]:[DEZ]])</f>
        <v>1974</v>
      </c>
    </row>
    <row r="5" spans="1:14" x14ac:dyDescent="0.2">
      <c r="A5" s="1" t="s">
        <v>15</v>
      </c>
      <c r="B5" s="9">
        <v>91</v>
      </c>
      <c r="C5" s="9">
        <v>107</v>
      </c>
      <c r="D5" s="9">
        <v>127</v>
      </c>
      <c r="E5" s="9">
        <v>152</v>
      </c>
      <c r="F5" s="9">
        <v>160</v>
      </c>
      <c r="G5" s="9">
        <v>68</v>
      </c>
      <c r="H5" s="9">
        <v>164</v>
      </c>
      <c r="I5" s="9">
        <v>130</v>
      </c>
      <c r="J5" s="9">
        <v>195</v>
      </c>
      <c r="K5" s="9">
        <v>150</v>
      </c>
      <c r="L5" s="9">
        <v>88</v>
      </c>
      <c r="M5" s="9">
        <v>126</v>
      </c>
      <c r="N5" s="9">
        <f>SUM(Tabela26668[[#This Row],[JAN]:[DEZ]])</f>
        <v>1558</v>
      </c>
    </row>
    <row r="6" spans="1:14" x14ac:dyDescent="0.2">
      <c r="A6" s="1" t="s">
        <v>16</v>
      </c>
      <c r="B6" s="9">
        <v>82</v>
      </c>
      <c r="C6" s="9">
        <v>74</v>
      </c>
      <c r="D6" s="9">
        <v>69</v>
      </c>
      <c r="E6" s="9">
        <v>51</v>
      </c>
      <c r="F6" s="9">
        <v>59</v>
      </c>
      <c r="G6" s="9">
        <v>50</v>
      </c>
      <c r="H6" s="9">
        <v>96</v>
      </c>
      <c r="I6" s="9">
        <v>100</v>
      </c>
      <c r="J6" s="9">
        <v>99</v>
      </c>
      <c r="K6" s="9">
        <v>65</v>
      </c>
      <c r="L6" s="9">
        <v>50</v>
      </c>
      <c r="M6" s="9">
        <v>71</v>
      </c>
      <c r="N6" s="9">
        <f>SUM(Tabela26668[[#This Row],[JAN]:[DEZ]])</f>
        <v>866</v>
      </c>
    </row>
    <row r="7" spans="1:14" x14ac:dyDescent="0.2">
      <c r="A7" s="1" t="s">
        <v>17</v>
      </c>
      <c r="B7" s="9">
        <v>60</v>
      </c>
      <c r="C7" s="9">
        <v>58</v>
      </c>
      <c r="D7" s="9">
        <v>78</v>
      </c>
      <c r="E7" s="9">
        <v>73</v>
      </c>
      <c r="F7" s="9">
        <v>93</v>
      </c>
      <c r="G7" s="9">
        <v>48</v>
      </c>
      <c r="H7" s="9">
        <v>39</v>
      </c>
      <c r="I7" s="9">
        <v>71</v>
      </c>
      <c r="J7" s="9">
        <v>32</v>
      </c>
      <c r="K7" s="9">
        <v>40</v>
      </c>
      <c r="L7" s="9">
        <v>64</v>
      </c>
      <c r="M7" s="9">
        <v>48</v>
      </c>
      <c r="N7" s="9">
        <f>SUM(Tabela26668[[#This Row],[JAN]:[DEZ]])</f>
        <v>704</v>
      </c>
    </row>
    <row r="8" spans="1:14" x14ac:dyDescent="0.2">
      <c r="A8" s="1" t="s">
        <v>167</v>
      </c>
      <c r="B8" s="9">
        <v>58</v>
      </c>
      <c r="C8" s="9">
        <v>37</v>
      </c>
      <c r="D8" s="9">
        <v>40</v>
      </c>
      <c r="E8" s="9">
        <v>50</v>
      </c>
      <c r="F8" s="9">
        <v>67</v>
      </c>
      <c r="G8" s="9">
        <v>17</v>
      </c>
      <c r="H8" s="9">
        <v>11</v>
      </c>
      <c r="I8" s="9">
        <v>21</v>
      </c>
      <c r="J8" s="9">
        <v>22</v>
      </c>
      <c r="K8" s="9">
        <v>19</v>
      </c>
      <c r="L8" s="9">
        <v>17</v>
      </c>
      <c r="M8" s="9">
        <v>12</v>
      </c>
      <c r="N8" s="9">
        <f>SUM(Tabela26668[[#This Row],[JAN]:[DEZ]])</f>
        <v>371</v>
      </c>
    </row>
    <row r="9" spans="1:14" x14ac:dyDescent="0.2">
      <c r="A9" s="1" t="s">
        <v>165</v>
      </c>
      <c r="B9" s="9">
        <v>2</v>
      </c>
      <c r="C9" s="9">
        <v>0</v>
      </c>
      <c r="D9" s="9">
        <v>12</v>
      </c>
      <c r="E9" s="9">
        <v>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f>SUM(Tabela26668[[#This Row],[JAN]:[DEZ]])</f>
        <v>17</v>
      </c>
    </row>
    <row r="10" spans="1:14" x14ac:dyDescent="0.2">
      <c r="A10" s="1" t="s">
        <v>166</v>
      </c>
      <c r="B10" s="9">
        <v>222</v>
      </c>
      <c r="C10" s="9">
        <v>131</v>
      </c>
      <c r="D10" s="9">
        <v>86</v>
      </c>
      <c r="E10" s="9">
        <v>100</v>
      </c>
      <c r="F10" s="9">
        <v>122</v>
      </c>
      <c r="G10" s="9">
        <v>49</v>
      </c>
      <c r="H10" s="9">
        <v>118</v>
      </c>
      <c r="I10" s="9">
        <v>128</v>
      </c>
      <c r="J10" s="9">
        <v>99</v>
      </c>
      <c r="K10" s="9">
        <v>89</v>
      </c>
      <c r="L10" s="9">
        <v>118</v>
      </c>
      <c r="M10" s="9">
        <v>103</v>
      </c>
      <c r="N10" s="9">
        <f>SUM(Tabela26668[[#This Row],[JAN]:[DEZ]])</f>
        <v>1365</v>
      </c>
    </row>
    <row r="11" spans="1:14" x14ac:dyDescent="0.2">
      <c r="A11" s="1" t="s">
        <v>168</v>
      </c>
      <c r="B11" s="9">
        <v>13</v>
      </c>
      <c r="C11" s="9">
        <v>7</v>
      </c>
      <c r="D11" s="9">
        <v>6</v>
      </c>
      <c r="E11" s="9">
        <v>14</v>
      </c>
      <c r="F11" s="9">
        <v>9</v>
      </c>
      <c r="G11" s="9">
        <v>7</v>
      </c>
      <c r="H11" s="9">
        <v>2</v>
      </c>
      <c r="I11" s="9">
        <v>4</v>
      </c>
      <c r="J11" s="9">
        <v>5</v>
      </c>
      <c r="K11" s="9">
        <v>0</v>
      </c>
      <c r="L11" s="9">
        <v>3</v>
      </c>
      <c r="M11" s="9">
        <v>3</v>
      </c>
      <c r="N11" s="9">
        <f>SUM(Tabela26668[[#This Row],[JAN]:[DEZ]])</f>
        <v>73</v>
      </c>
    </row>
    <row r="12" spans="1:14" x14ac:dyDescent="0.2">
      <c r="A12" s="118"/>
      <c r="B12" s="119">
        <f>SUBTOTAL(109,Tabela26668[JAN])</f>
        <v>602</v>
      </c>
      <c r="C12" s="119">
        <f>SUBTOTAL(109,Tabela26668[FEV])</f>
        <v>558</v>
      </c>
      <c r="D12" s="119">
        <f>SUBTOTAL(109,Tabela26668[MAR])</f>
        <v>539</v>
      </c>
      <c r="E12" s="119">
        <f>SUBTOTAL(109,Tabela26668[ABR])</f>
        <v>658</v>
      </c>
      <c r="F12" s="119">
        <f>SUBTOTAL(109,Tabela26668[MAI])</f>
        <v>712</v>
      </c>
      <c r="G12" s="119">
        <f>SUBTOTAL(109,Tabela26668[JUN])</f>
        <v>340</v>
      </c>
      <c r="H12" s="119">
        <f>SUBTOTAL(109,Tabela26668[JUL])</f>
        <v>611</v>
      </c>
      <c r="I12" s="119">
        <f>SUBTOTAL(109,Tabela26668[AGO])</f>
        <v>680</v>
      </c>
      <c r="J12" s="119">
        <f>SUBTOTAL(109,Tabela26668[SET])</f>
        <v>670</v>
      </c>
      <c r="K12" s="119">
        <f>SUBTOTAL(109,Tabela26668[OUT])</f>
        <v>581</v>
      </c>
      <c r="L12" s="119">
        <f>SUBTOTAL(109,Tabela26668[NOV])</f>
        <v>506</v>
      </c>
      <c r="M12" s="119">
        <f>SUBTOTAL(109,Tabela26668[DEZ])</f>
        <v>481</v>
      </c>
      <c r="N12" s="119">
        <f>SUBTOTAL(109,Tabela26668[2019])</f>
        <v>6938</v>
      </c>
    </row>
  </sheetData>
  <sheetProtection autoFilter="0"/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Indicadores Hospitalares</vt:lpstr>
      <vt:lpstr>Atendimentos</vt:lpstr>
      <vt:lpstr>Ambulatório e Emergência</vt:lpstr>
      <vt:lpstr>Manchester</vt:lpstr>
      <vt:lpstr>Cirurgias</vt:lpstr>
      <vt:lpstr>Exames</vt:lpstr>
      <vt:lpstr>Psicossocial</vt:lpstr>
      <vt:lpstr>Reabilitação</vt:lpstr>
      <vt:lpstr>Nutrição</vt:lpstr>
      <vt:lpstr>Regulação</vt:lpstr>
      <vt:lpstr>AIH</vt:lpstr>
      <vt:lpstr>BPA</vt:lpstr>
      <vt:lpstr>Atendimentos (Localidade)</vt:lpstr>
      <vt:lpstr>ATT</vt:lpstr>
      <vt:lpstr>ATT (MOTO)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2020-01-17T19:46:25Z</dcterms:created>
  <dcterms:modified xsi:type="dcterms:W3CDTF">2020-02-14T18:25:33Z</dcterms:modified>
  <cp:category/>
  <cp:contentStatus/>
</cp:coreProperties>
</file>