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30"/>
  </bookViews>
  <sheets>
    <sheet name="Indicadores Hospitalares" sheetId="7" r:id="rId1"/>
    <sheet name="Atendimentos" sheetId="1" r:id="rId2"/>
    <sheet name="ATT" sheetId="3" r:id="rId3"/>
    <sheet name="ATT (MOTO)" sheetId="4" r:id="rId4"/>
    <sheet name="Cirurgias" sheetId="5" r:id="rId5"/>
    <sheet name="Exame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3" i="7" l="1"/>
  <c r="L123" i="7"/>
  <c r="K123" i="7"/>
  <c r="J123" i="7"/>
  <c r="I123" i="7"/>
  <c r="H123" i="7"/>
  <c r="G123" i="7"/>
  <c r="F123" i="7"/>
  <c r="E123" i="7"/>
  <c r="D123" i="7"/>
  <c r="C123" i="7"/>
  <c r="B123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M99" i="7"/>
  <c r="L99" i="7"/>
  <c r="K99" i="7"/>
  <c r="J99" i="7"/>
  <c r="I99" i="7"/>
  <c r="H99" i="7"/>
  <c r="G99" i="7"/>
  <c r="F99" i="7"/>
  <c r="E99" i="7"/>
  <c r="D99" i="7"/>
  <c r="C99" i="7"/>
  <c r="B99" i="7"/>
  <c r="M98" i="7"/>
  <c r="L98" i="7"/>
  <c r="K98" i="7"/>
  <c r="J98" i="7"/>
  <c r="I98" i="7"/>
  <c r="H98" i="7"/>
  <c r="G98" i="7"/>
  <c r="F98" i="7"/>
  <c r="E98" i="7"/>
  <c r="D98" i="7"/>
  <c r="C98" i="7"/>
  <c r="B98" i="7"/>
  <c r="M97" i="7"/>
  <c r="L97" i="7"/>
  <c r="K97" i="7"/>
  <c r="J97" i="7"/>
  <c r="I97" i="7"/>
  <c r="H97" i="7"/>
  <c r="G97" i="7"/>
  <c r="F97" i="7"/>
  <c r="E97" i="7"/>
  <c r="D97" i="7"/>
  <c r="C97" i="7"/>
  <c r="B97" i="7"/>
  <c r="M96" i="7"/>
  <c r="L96" i="7"/>
  <c r="K96" i="7"/>
  <c r="J96" i="7"/>
  <c r="I96" i="7"/>
  <c r="H96" i="7"/>
  <c r="G96" i="7"/>
  <c r="F96" i="7"/>
  <c r="E96" i="7"/>
  <c r="D96" i="7"/>
  <c r="C96" i="7"/>
  <c r="B96" i="7"/>
  <c r="M95" i="7"/>
  <c r="L95" i="7"/>
  <c r="K95" i="7"/>
  <c r="J95" i="7"/>
  <c r="I95" i="7"/>
  <c r="H95" i="7"/>
  <c r="G95" i="7"/>
  <c r="F95" i="7"/>
  <c r="E95" i="7"/>
  <c r="D95" i="7"/>
  <c r="C95" i="7"/>
  <c r="B95" i="7"/>
  <c r="M94" i="7"/>
  <c r="L94" i="7"/>
  <c r="K94" i="7"/>
  <c r="J94" i="7"/>
  <c r="I94" i="7"/>
  <c r="H94" i="7"/>
  <c r="G94" i="7"/>
  <c r="F94" i="7"/>
  <c r="E94" i="7"/>
  <c r="D94" i="7"/>
  <c r="C94" i="7"/>
  <c r="B94" i="7"/>
  <c r="M93" i="7"/>
  <c r="L93" i="7"/>
  <c r="K93" i="7"/>
  <c r="J93" i="7"/>
  <c r="I93" i="7"/>
  <c r="H93" i="7"/>
  <c r="G93" i="7"/>
  <c r="F93" i="7"/>
  <c r="E93" i="7"/>
  <c r="D93" i="7"/>
  <c r="C93" i="7"/>
  <c r="B93" i="7"/>
  <c r="M90" i="7"/>
  <c r="L90" i="7"/>
  <c r="K90" i="7"/>
  <c r="J90" i="7"/>
  <c r="I90" i="7"/>
  <c r="H90" i="7"/>
  <c r="G90" i="7"/>
  <c r="F90" i="7"/>
  <c r="E90" i="7"/>
  <c r="D90" i="7"/>
  <c r="C90" i="7"/>
  <c r="B90" i="7"/>
  <c r="M89" i="7"/>
  <c r="L89" i="7"/>
  <c r="K89" i="7"/>
  <c r="J89" i="7"/>
  <c r="I89" i="7"/>
  <c r="H89" i="7"/>
  <c r="G89" i="7"/>
  <c r="F89" i="7"/>
  <c r="E89" i="7"/>
  <c r="D89" i="7"/>
  <c r="C89" i="7"/>
  <c r="B89" i="7"/>
  <c r="M88" i="7"/>
  <c r="L88" i="7"/>
  <c r="K88" i="7"/>
  <c r="J88" i="7"/>
  <c r="I88" i="7"/>
  <c r="H88" i="7"/>
  <c r="G88" i="7"/>
  <c r="F88" i="7"/>
  <c r="E88" i="7"/>
  <c r="D88" i="7"/>
  <c r="C88" i="7"/>
  <c r="B88" i="7"/>
  <c r="M87" i="7"/>
  <c r="L87" i="7"/>
  <c r="K87" i="7"/>
  <c r="J87" i="7"/>
  <c r="I87" i="7"/>
  <c r="H87" i="7"/>
  <c r="G87" i="7"/>
  <c r="F87" i="7"/>
  <c r="E87" i="7"/>
  <c r="D87" i="7"/>
  <c r="C87" i="7"/>
  <c r="B87" i="7"/>
  <c r="M86" i="7"/>
  <c r="L86" i="7"/>
  <c r="K86" i="7"/>
  <c r="J86" i="7"/>
  <c r="I86" i="7"/>
  <c r="H86" i="7"/>
  <c r="G86" i="7"/>
  <c r="F86" i="7"/>
  <c r="E86" i="7"/>
  <c r="D86" i="7"/>
  <c r="C86" i="7"/>
  <c r="B86" i="7"/>
  <c r="M85" i="7"/>
  <c r="L85" i="7"/>
  <c r="K85" i="7"/>
  <c r="J85" i="7"/>
  <c r="I85" i="7"/>
  <c r="H85" i="7"/>
  <c r="G85" i="7"/>
  <c r="F85" i="7"/>
  <c r="E85" i="7"/>
  <c r="D85" i="7"/>
  <c r="C85" i="7"/>
  <c r="B85" i="7"/>
  <c r="M84" i="7"/>
  <c r="L84" i="7"/>
  <c r="K84" i="7"/>
  <c r="J84" i="7"/>
  <c r="I84" i="7"/>
  <c r="H84" i="7"/>
  <c r="G84" i="7"/>
  <c r="F84" i="7"/>
  <c r="E84" i="7"/>
  <c r="D84" i="7"/>
  <c r="C84" i="7"/>
  <c r="B84" i="7"/>
  <c r="M83" i="7"/>
  <c r="L83" i="7"/>
  <c r="K83" i="7"/>
  <c r="J83" i="7"/>
  <c r="I83" i="7"/>
  <c r="H83" i="7"/>
  <c r="G83" i="7"/>
  <c r="F83" i="7"/>
  <c r="E83" i="7"/>
  <c r="D83" i="7"/>
  <c r="C83" i="7"/>
  <c r="B83" i="7"/>
  <c r="M82" i="7"/>
  <c r="L82" i="7"/>
  <c r="K82" i="7"/>
  <c r="J82" i="7"/>
  <c r="I82" i="7"/>
  <c r="H82" i="7"/>
  <c r="G82" i="7"/>
  <c r="F82" i="7"/>
  <c r="E82" i="7"/>
  <c r="D82" i="7"/>
  <c r="C82" i="7"/>
  <c r="B82" i="7"/>
  <c r="M79" i="7"/>
  <c r="L79" i="7"/>
  <c r="K79" i="7"/>
  <c r="J79" i="7"/>
  <c r="I79" i="7"/>
  <c r="H79" i="7"/>
  <c r="G79" i="7"/>
  <c r="F79" i="7"/>
  <c r="E79" i="7"/>
  <c r="D79" i="7"/>
  <c r="C79" i="7"/>
  <c r="B79" i="7"/>
  <c r="M78" i="7"/>
  <c r="L78" i="7"/>
  <c r="K78" i="7"/>
  <c r="J78" i="7"/>
  <c r="I78" i="7"/>
  <c r="H78" i="7"/>
  <c r="G78" i="7"/>
  <c r="F78" i="7"/>
  <c r="E78" i="7"/>
  <c r="D78" i="7"/>
  <c r="C78" i="7"/>
  <c r="B78" i="7"/>
  <c r="M77" i="7"/>
  <c r="L77" i="7"/>
  <c r="K77" i="7"/>
  <c r="J77" i="7"/>
  <c r="I77" i="7"/>
  <c r="H77" i="7"/>
  <c r="G77" i="7"/>
  <c r="F77" i="7"/>
  <c r="E77" i="7"/>
  <c r="D77" i="7"/>
  <c r="C77" i="7"/>
  <c r="B77" i="7"/>
  <c r="M76" i="7"/>
  <c r="L76" i="7"/>
  <c r="K76" i="7"/>
  <c r="J76" i="7"/>
  <c r="I76" i="7"/>
  <c r="H76" i="7"/>
  <c r="G76" i="7"/>
  <c r="F76" i="7"/>
  <c r="E76" i="7"/>
  <c r="D76" i="7"/>
  <c r="C76" i="7"/>
  <c r="B76" i="7"/>
  <c r="M75" i="7"/>
  <c r="L75" i="7"/>
  <c r="K75" i="7"/>
  <c r="J75" i="7"/>
  <c r="I75" i="7"/>
  <c r="H75" i="7"/>
  <c r="G75" i="7"/>
  <c r="F75" i="7"/>
  <c r="E75" i="7"/>
  <c r="D75" i="7"/>
  <c r="C75" i="7"/>
  <c r="B75" i="7"/>
  <c r="M74" i="7"/>
  <c r="L74" i="7"/>
  <c r="K74" i="7"/>
  <c r="J74" i="7"/>
  <c r="I74" i="7"/>
  <c r="H74" i="7"/>
  <c r="G74" i="7"/>
  <c r="F74" i="7"/>
  <c r="E74" i="7"/>
  <c r="D74" i="7"/>
  <c r="C74" i="7"/>
  <c r="B74" i="7"/>
  <c r="M73" i="7"/>
  <c r="L73" i="7"/>
  <c r="K73" i="7"/>
  <c r="J73" i="7"/>
  <c r="I73" i="7"/>
  <c r="H73" i="7"/>
  <c r="G73" i="7"/>
  <c r="F73" i="7"/>
  <c r="E73" i="7"/>
  <c r="D73" i="7"/>
  <c r="C73" i="7"/>
  <c r="B73" i="7"/>
  <c r="M72" i="7"/>
  <c r="L72" i="7"/>
  <c r="K72" i="7"/>
  <c r="J72" i="7"/>
  <c r="I72" i="7"/>
  <c r="H72" i="7"/>
  <c r="G72" i="7"/>
  <c r="F72" i="7"/>
  <c r="E72" i="7"/>
  <c r="D72" i="7"/>
  <c r="C72" i="7"/>
  <c r="B72" i="7"/>
  <c r="M71" i="7"/>
  <c r="L71" i="7"/>
  <c r="K71" i="7"/>
  <c r="J71" i="7"/>
  <c r="I71" i="7"/>
  <c r="H71" i="7"/>
  <c r="G71" i="7"/>
  <c r="F71" i="7"/>
  <c r="E71" i="7"/>
  <c r="D71" i="7"/>
  <c r="C71" i="7"/>
  <c r="B71" i="7"/>
  <c r="N67" i="7"/>
  <c r="N101" i="7" s="1"/>
  <c r="N66" i="7"/>
  <c r="N100" i="7" s="1"/>
  <c r="N65" i="7"/>
  <c r="N99" i="7" s="1"/>
  <c r="N64" i="7"/>
  <c r="N98" i="7" s="1"/>
  <c r="N63" i="7"/>
  <c r="N62" i="7"/>
  <c r="N61" i="7"/>
  <c r="N60" i="7"/>
  <c r="N59" i="7"/>
  <c r="N56" i="7"/>
  <c r="N55" i="7"/>
  <c r="N54" i="7"/>
  <c r="N53" i="7"/>
  <c r="N52" i="7"/>
  <c r="N51" i="7"/>
  <c r="N50" i="7"/>
  <c r="N49" i="7"/>
  <c r="N48" i="7"/>
  <c r="N45" i="7"/>
  <c r="N44" i="7"/>
  <c r="N43" i="7"/>
  <c r="N42" i="7"/>
  <c r="N41" i="7"/>
  <c r="N40" i="7"/>
  <c r="N39" i="7"/>
  <c r="N38" i="7"/>
  <c r="N37" i="7"/>
  <c r="N34" i="7"/>
  <c r="N33" i="7"/>
  <c r="N32" i="7"/>
  <c r="N31" i="7"/>
  <c r="N30" i="7"/>
  <c r="N29" i="7"/>
  <c r="N28" i="7"/>
  <c r="N27" i="7"/>
  <c r="N26" i="7"/>
  <c r="N23" i="7"/>
  <c r="N22" i="7"/>
  <c r="N21" i="7"/>
  <c r="N20" i="7"/>
  <c r="N19" i="7"/>
  <c r="N18" i="7"/>
  <c r="N17" i="7"/>
  <c r="N16" i="7"/>
  <c r="N15" i="7"/>
  <c r="N12" i="7"/>
  <c r="N11" i="7"/>
  <c r="N10" i="7"/>
  <c r="N9" i="7"/>
  <c r="N8" i="7"/>
  <c r="N7" i="7"/>
  <c r="N6" i="7"/>
  <c r="N95" i="7" s="1"/>
  <c r="N5" i="7"/>
  <c r="N4" i="7"/>
  <c r="N1" i="7"/>
  <c r="N76" i="7" s="1"/>
  <c r="N85" i="7" l="1"/>
  <c r="N106" i="7"/>
  <c r="N110" i="7"/>
  <c r="N73" i="7"/>
  <c r="N83" i="7"/>
  <c r="N89" i="7"/>
  <c r="N115" i="7"/>
  <c r="N123" i="7"/>
  <c r="N118" i="7"/>
  <c r="N93" i="7"/>
  <c r="N96" i="7"/>
  <c r="N119" i="7"/>
  <c r="N94" i="7"/>
  <c r="N120" i="7"/>
  <c r="N116" i="7"/>
  <c r="N122" i="7"/>
  <c r="N97" i="7"/>
  <c r="N77" i="7"/>
  <c r="N87" i="7"/>
  <c r="N107" i="7"/>
  <c r="N111" i="7"/>
  <c r="N117" i="7"/>
  <c r="N121" i="7"/>
  <c r="N74" i="7"/>
  <c r="N78" i="7"/>
  <c r="N84" i="7"/>
  <c r="N88" i="7"/>
  <c r="N104" i="7"/>
  <c r="N108" i="7"/>
  <c r="N112" i="7"/>
  <c r="N105" i="7"/>
  <c r="N109" i="7"/>
  <c r="N71" i="7"/>
  <c r="N75" i="7"/>
  <c r="N79" i="7"/>
  <c r="N72" i="7"/>
  <c r="N82" i="7"/>
  <c r="N86" i="7"/>
  <c r="N90" i="7"/>
  <c r="M7" i="1" l="1"/>
  <c r="M17" i="1" s="1"/>
  <c r="N5" i="1"/>
  <c r="N6" i="1"/>
  <c r="N4" i="1"/>
  <c r="N12" i="1"/>
  <c r="L7" i="1"/>
  <c r="L17" i="1" s="1"/>
  <c r="N17" i="1" s="1"/>
  <c r="L4" i="6"/>
  <c r="B7" i="1"/>
  <c r="C7" i="1"/>
  <c r="D7" i="1"/>
  <c r="E7" i="1"/>
  <c r="F7" i="1"/>
  <c r="G7" i="1"/>
  <c r="H7" i="1"/>
  <c r="I7" i="1"/>
  <c r="J7" i="1"/>
  <c r="K7" i="1"/>
  <c r="N7" i="1"/>
  <c r="K4" i="6"/>
  <c r="M11" i="6"/>
  <c r="L11" i="6"/>
  <c r="K11" i="6"/>
  <c r="J4" i="6"/>
  <c r="J7" i="6"/>
  <c r="J11" i="6" s="1"/>
  <c r="F7" i="6"/>
  <c r="F11" i="6"/>
  <c r="C11" i="6"/>
  <c r="B11" i="6"/>
  <c r="N10" i="6"/>
  <c r="N9" i="6"/>
  <c r="N8" i="6"/>
  <c r="D7" i="6"/>
  <c r="N7" i="6" s="1"/>
  <c r="E7" i="6"/>
  <c r="G7" i="6"/>
  <c r="H7" i="6"/>
  <c r="I7" i="6"/>
  <c r="G11" i="6"/>
  <c r="E11" i="6"/>
  <c r="N6" i="6"/>
  <c r="N5" i="6"/>
  <c r="I4" i="6"/>
  <c r="I11" i="6"/>
  <c r="H4" i="6"/>
  <c r="H11" i="6" s="1"/>
  <c r="M12" i="5"/>
  <c r="L12" i="5"/>
  <c r="K12" i="5"/>
  <c r="J12" i="5"/>
  <c r="I12" i="5"/>
  <c r="H12" i="5"/>
  <c r="G12" i="5"/>
  <c r="F12" i="5"/>
  <c r="E12" i="5"/>
  <c r="D12" i="5"/>
  <c r="C12" i="5"/>
  <c r="B12" i="5"/>
  <c r="N11" i="5"/>
  <c r="N10" i="5"/>
  <c r="N9" i="5"/>
  <c r="N8" i="5"/>
  <c r="N7" i="5"/>
  <c r="N6" i="5"/>
  <c r="N5" i="5"/>
  <c r="N4" i="5"/>
  <c r="M87" i="4"/>
  <c r="L87" i="4"/>
  <c r="K87" i="4"/>
  <c r="J87" i="4"/>
  <c r="I87" i="4"/>
  <c r="H87" i="4"/>
  <c r="G87" i="4"/>
  <c r="F87" i="4"/>
  <c r="E87" i="4"/>
  <c r="D87" i="4"/>
  <c r="C87" i="4"/>
  <c r="B87" i="4"/>
  <c r="M75" i="4"/>
  <c r="L75" i="4"/>
  <c r="K75" i="4"/>
  <c r="J75" i="4"/>
  <c r="I75" i="4"/>
  <c r="H75" i="4"/>
  <c r="G75" i="4"/>
  <c r="F75" i="4"/>
  <c r="E75" i="4"/>
  <c r="D75" i="4"/>
  <c r="C75" i="4"/>
  <c r="B75" i="4"/>
  <c r="M59" i="4"/>
  <c r="L59" i="4"/>
  <c r="K59" i="4"/>
  <c r="J59" i="4"/>
  <c r="I59" i="4"/>
  <c r="H59" i="4"/>
  <c r="G59" i="4"/>
  <c r="F59" i="4"/>
  <c r="E59" i="4"/>
  <c r="D59" i="4"/>
  <c r="C59" i="4"/>
  <c r="B59" i="4"/>
  <c r="M50" i="4"/>
  <c r="L50" i="4"/>
  <c r="K50" i="4"/>
  <c r="J50" i="4"/>
  <c r="I50" i="4"/>
  <c r="H50" i="4"/>
  <c r="G50" i="4"/>
  <c r="F50" i="4"/>
  <c r="E50" i="4"/>
  <c r="D50" i="4"/>
  <c r="C50" i="4"/>
  <c r="B50" i="4"/>
  <c r="M38" i="4"/>
  <c r="L38" i="4"/>
  <c r="K38" i="4"/>
  <c r="J38" i="4"/>
  <c r="I38" i="4"/>
  <c r="H38" i="4"/>
  <c r="G38" i="4"/>
  <c r="F38" i="4"/>
  <c r="E38" i="4"/>
  <c r="D38" i="4"/>
  <c r="C38" i="4"/>
  <c r="B38" i="4"/>
  <c r="M29" i="4"/>
  <c r="L29" i="4"/>
  <c r="K29" i="4"/>
  <c r="J29" i="4"/>
  <c r="I29" i="4"/>
  <c r="H29" i="4"/>
  <c r="G29" i="4"/>
  <c r="F29" i="4"/>
  <c r="E29" i="4"/>
  <c r="D29" i="4"/>
  <c r="C29" i="4"/>
  <c r="B29" i="4"/>
  <c r="M21" i="4"/>
  <c r="L21" i="4"/>
  <c r="K21" i="4"/>
  <c r="J21" i="4"/>
  <c r="I21" i="4"/>
  <c r="H21" i="4"/>
  <c r="G21" i="4"/>
  <c r="F21" i="4"/>
  <c r="E21" i="4"/>
  <c r="D21" i="4"/>
  <c r="C21" i="4"/>
  <c r="B21" i="4"/>
  <c r="M10" i="4"/>
  <c r="L10" i="4"/>
  <c r="K10" i="4"/>
  <c r="J10" i="4"/>
  <c r="I10" i="4"/>
  <c r="H10" i="4"/>
  <c r="G10" i="4"/>
  <c r="F10" i="4"/>
  <c r="E10" i="4"/>
  <c r="D10" i="4"/>
  <c r="C10" i="4"/>
  <c r="B10" i="4"/>
  <c r="M98" i="3"/>
  <c r="L98" i="3"/>
  <c r="K98" i="3"/>
  <c r="J98" i="3"/>
  <c r="I98" i="3"/>
  <c r="H98" i="3"/>
  <c r="G98" i="3"/>
  <c r="F98" i="3"/>
  <c r="E98" i="3"/>
  <c r="D98" i="3"/>
  <c r="C98" i="3"/>
  <c r="B98" i="3"/>
  <c r="M86" i="3"/>
  <c r="L86" i="3"/>
  <c r="K86" i="3"/>
  <c r="J86" i="3"/>
  <c r="I86" i="3"/>
  <c r="H86" i="3"/>
  <c r="G86" i="3"/>
  <c r="F86" i="3"/>
  <c r="E86" i="3"/>
  <c r="D86" i="3"/>
  <c r="C86" i="3"/>
  <c r="B86" i="3"/>
  <c r="M70" i="3"/>
  <c r="L70" i="3"/>
  <c r="K70" i="3"/>
  <c r="J70" i="3"/>
  <c r="I70" i="3"/>
  <c r="H70" i="3"/>
  <c r="G70" i="3"/>
  <c r="F70" i="3"/>
  <c r="E70" i="3"/>
  <c r="D70" i="3"/>
  <c r="C70" i="3"/>
  <c r="B70" i="3"/>
  <c r="M60" i="3"/>
  <c r="L60" i="3"/>
  <c r="K60" i="3"/>
  <c r="J60" i="3"/>
  <c r="I60" i="3"/>
  <c r="H60" i="3"/>
  <c r="G60" i="3"/>
  <c r="F60" i="3"/>
  <c r="E60" i="3"/>
  <c r="D60" i="3"/>
  <c r="C60" i="3"/>
  <c r="B60" i="3"/>
  <c r="M51" i="3"/>
  <c r="L51" i="3"/>
  <c r="K51" i="3"/>
  <c r="J51" i="3"/>
  <c r="I51" i="3"/>
  <c r="H51" i="3"/>
  <c r="G51" i="3"/>
  <c r="F51" i="3"/>
  <c r="E51" i="3"/>
  <c r="D51" i="3"/>
  <c r="C51" i="3"/>
  <c r="B51" i="3"/>
  <c r="M39" i="3"/>
  <c r="L39" i="3"/>
  <c r="K39" i="3"/>
  <c r="J39" i="3"/>
  <c r="I39" i="3"/>
  <c r="H39" i="3"/>
  <c r="G39" i="3"/>
  <c r="F39" i="3"/>
  <c r="E39" i="3"/>
  <c r="D39" i="3"/>
  <c r="C39" i="3"/>
  <c r="B39" i="3"/>
  <c r="M30" i="3"/>
  <c r="L30" i="3"/>
  <c r="K30" i="3"/>
  <c r="J30" i="3"/>
  <c r="I30" i="3"/>
  <c r="H30" i="3"/>
  <c r="G30" i="3"/>
  <c r="F30" i="3"/>
  <c r="E30" i="3"/>
  <c r="D30" i="3"/>
  <c r="C30" i="3"/>
  <c r="B30" i="3"/>
  <c r="M21" i="3"/>
  <c r="L21" i="3"/>
  <c r="K21" i="3"/>
  <c r="J21" i="3"/>
  <c r="I21" i="3"/>
  <c r="H21" i="3"/>
  <c r="G21" i="3"/>
  <c r="F21" i="3"/>
  <c r="E21" i="3"/>
  <c r="D21" i="3"/>
  <c r="C21" i="3"/>
  <c r="B21" i="3"/>
  <c r="M10" i="3"/>
  <c r="L10" i="3"/>
  <c r="K10" i="3"/>
  <c r="J10" i="3"/>
  <c r="I10" i="3"/>
  <c r="H10" i="3"/>
  <c r="G10" i="3"/>
  <c r="F10" i="3"/>
  <c r="E10" i="3"/>
  <c r="D10" i="3"/>
  <c r="C10" i="3"/>
  <c r="B10" i="3"/>
  <c r="N4" i="6" l="1"/>
  <c r="N11" i="6" s="1"/>
  <c r="D11" i="6"/>
  <c r="N12" i="5"/>
  <c r="O8" i="5" l="1"/>
  <c r="O6" i="5"/>
  <c r="O9" i="5"/>
  <c r="O7" i="5"/>
  <c r="O11" i="5"/>
  <c r="O5" i="5"/>
  <c r="O10" i="5"/>
  <c r="O4" i="5"/>
  <c r="O12" i="5" l="1"/>
</calcChain>
</file>

<file path=xl/comments1.xml><?xml version="1.0" encoding="utf-8"?>
<comments xmlns="http://schemas.openxmlformats.org/spreadsheetml/2006/main">
  <authors>
    <author>Autor</author>
  </authors>
  <commentList>
    <comment ref="L4" authorId="0" shapeId="0">
      <text>
        <r>
          <rPr>
            <b/>
            <sz val="9"/>
            <color indexed="81"/>
            <rFont val="Segoe UI"/>
            <family val="2"/>
          </rPr>
          <t>Gasometria (UTI): 707</t>
        </r>
      </text>
    </comment>
    <comment ref="M5" authorId="0" shapeId="0">
      <text>
        <r>
          <rPr>
            <b/>
            <sz val="9"/>
            <color indexed="81"/>
            <rFont val="Segoe UI"/>
            <family val="2"/>
          </rPr>
          <t>Os procedimentos voltaram a ser contabilizados por incidência</t>
        </r>
      </text>
    </comment>
  </commentList>
</comments>
</file>

<file path=xl/sharedStrings.xml><?xml version="1.0" encoding="utf-8"?>
<sst xmlns="http://schemas.openxmlformats.org/spreadsheetml/2006/main" count="744" uniqueCount="144">
  <si>
    <t>BPAC (Boletim de Produção Ambulatorial - Consolidado)</t>
  </si>
  <si>
    <t>03 - Procedimentos clínicos  |  01 - Consultas / Atendimentos / Acompanhamentos</t>
  </si>
  <si>
    <t>Organização de Procedimentos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</si>
  <si>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</si>
  <si>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</si>
  <si>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</si>
  <si>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</si>
  <si>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</si>
  <si>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</si>
  <si>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</si>
  <si>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</si>
  <si>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</si>
  <si>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</si>
  <si>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</si>
  <si>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</si>
  <si>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2015</t>
  </si>
  <si>
    <t>01 - Consultas médicas/outros profissionais  de nivel superior</t>
  </si>
  <si>
    <t>06 - Consulta/Atendimento ás urgências (em geral)</t>
  </si>
  <si>
    <t>10 - Atendimentos de enfermagem (em geral)</t>
  </si>
  <si>
    <t>Censo Diário (AGHU)</t>
  </si>
  <si>
    <t>Número de Internações Hospitalares</t>
  </si>
  <si>
    <t>Entradas</t>
  </si>
  <si>
    <t>Internações Hospitalares</t>
  </si>
  <si>
    <t>Total de Atendimentos</t>
  </si>
  <si>
    <t>BPAC + Censo</t>
  </si>
  <si>
    <t>Atendimentos</t>
  </si>
  <si>
    <t>Total</t>
  </si>
  <si>
    <t>2015 (%)</t>
  </si>
  <si>
    <t>SALA AMARELA</t>
  </si>
  <si>
    <t>SALA VERDE</t>
  </si>
  <si>
    <t>SALA VERMELHA</t>
  </si>
  <si>
    <t>SALA AZUL</t>
  </si>
  <si>
    <t>PRIMEIRO ANDAR</t>
  </si>
  <si>
    <t>SEGUNDO ANDAR</t>
  </si>
  <si>
    <t>TERCEIRO ANDAR</t>
  </si>
  <si>
    <t>UTI ADULTO</t>
  </si>
  <si>
    <t>SEXO</t>
  </si>
  <si>
    <t>HU-UNIVASF</t>
  </si>
  <si>
    <t>ACIDENTES DE TRANSPORTE TERRESTRE (ATT) [Fonte: Boletim da Secretaria de Saúde]</t>
  </si>
  <si>
    <t>ATT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</si>
  <si>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</si>
  <si>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</si>
  <si>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</si>
  <si>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</si>
  <si>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</si>
  <si>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</si>
  <si>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</si>
  <si>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</si>
  <si>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</si>
  <si>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</si>
  <si>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</si>
  <si>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</si>
  <si>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Nº de ATT's</t>
  </si>
  <si>
    <t>Masculino</t>
  </si>
  <si>
    <t>Feminino</t>
  </si>
  <si>
    <t>Ignorado</t>
  </si>
  <si>
    <t>NATUREZA DO ACIDENTE</t>
  </si>
  <si>
    <t>Colisão/Abalroamento</t>
  </si>
  <si>
    <t>Atropelamento</t>
  </si>
  <si>
    <t>Tombamento/Capotamento</t>
  </si>
  <si>
    <t>Queda em/do Veículo</t>
  </si>
  <si>
    <t>Choque com objeto fixo</t>
  </si>
  <si>
    <t xml:space="preserve">Ignorado </t>
  </si>
  <si>
    <t>Outro</t>
  </si>
  <si>
    <t>FATORES RELACIONADOS AO ACIDENTE (* Mais de um fator pode estar envolvido em um mesmo acidente)</t>
  </si>
  <si>
    <t>FATORES RELACIONADOS AO ACIDENTE</t>
  </si>
  <si>
    <t>Excesso de Velocidade</t>
  </si>
  <si>
    <t>Condutor sem habilitação</t>
  </si>
  <si>
    <t>Vítima sem cinto de segurança</t>
  </si>
  <si>
    <t>Vítima sem capacete</t>
  </si>
  <si>
    <t>Uso de bebida alcoolica pelo condutor</t>
  </si>
  <si>
    <t>FAIXA ETÁRIA (ANOS)</t>
  </si>
  <si>
    <t>00 - 09</t>
  </si>
  <si>
    <t>10 - 19</t>
  </si>
  <si>
    <t>20 - 39</t>
  </si>
  <si>
    <t>40 - 59</t>
  </si>
  <si>
    <r>
      <rPr>
        <sz val="8"/>
        <rFont val="Calibri"/>
        <family val="2"/>
      </rPr>
      <t xml:space="preserve">≥ </t>
    </r>
    <r>
      <rPr>
        <sz val="8"/>
        <rFont val="Calibri"/>
        <family val="2"/>
        <scheme val="minor"/>
      </rPr>
      <t>60</t>
    </r>
  </si>
  <si>
    <t>DIA DA SEMANA DO ACIDENTE</t>
  </si>
  <si>
    <t>Segunda</t>
  </si>
  <si>
    <t>Terça</t>
  </si>
  <si>
    <t>Quarta</t>
  </si>
  <si>
    <t xml:space="preserve"> </t>
  </si>
  <si>
    <t>Quinta</t>
  </si>
  <si>
    <t>Sexta</t>
  </si>
  <si>
    <t>Sabado</t>
  </si>
  <si>
    <t>Domingo</t>
  </si>
  <si>
    <t>ACIDENTE RELACIONADO AO TRABALHO</t>
  </si>
  <si>
    <t>Durante o Serviço/Trabalho</t>
  </si>
  <si>
    <t>Indo/Voltando do Trabalho</t>
  </si>
  <si>
    <t>Não Relacionado</t>
  </si>
  <si>
    <t>Não se Aplica</t>
  </si>
  <si>
    <t>MEIO DE LOCOMOÇÃO</t>
  </si>
  <si>
    <t>A pé</t>
  </si>
  <si>
    <t>Automovel</t>
  </si>
  <si>
    <t>Motocicleta</t>
  </si>
  <si>
    <t>Bicicleta</t>
  </si>
  <si>
    <t>Outros</t>
  </si>
  <si>
    <t>OUTRA PARTE ENVOLVIDA NO ACIDENTE</t>
  </si>
  <si>
    <t>Onibus/Similar</t>
  </si>
  <si>
    <t>Objeto Fixo</t>
  </si>
  <si>
    <t>Animal</t>
  </si>
  <si>
    <t>Veiculo Pesado</t>
  </si>
  <si>
    <t>Veiculo de Tração</t>
  </si>
  <si>
    <t>Pedestre</t>
  </si>
  <si>
    <t>Trem/Metro</t>
  </si>
  <si>
    <t>EVOLUÇÃO EM ATÉ 48 HORAS DO ATENDIMENTO</t>
  </si>
  <si>
    <t>Alta</t>
  </si>
  <si>
    <t>Encaminhamento</t>
  </si>
  <si>
    <t>Internação</t>
  </si>
  <si>
    <t>Transferencia</t>
  </si>
  <si>
    <t>Evasão</t>
  </si>
  <si>
    <t>Óbito</t>
  </si>
  <si>
    <t>ACIDENTES DE TRANSPORTE TERRESTRE (ATT) - MOTO [Fonte: Boletim da Secretaria de Saúde]</t>
  </si>
  <si>
    <t>CIRURGIAS (2015) [Fonte: Relatório do Setor]</t>
  </si>
  <si>
    <t>Especialidades</t>
  </si>
  <si>
    <t>Cirurgia e Traumatologia Buco Maxilo Facial</t>
  </si>
  <si>
    <t>Cirurgia Geral</t>
  </si>
  <si>
    <t>Cirurgia Plástica</t>
  </si>
  <si>
    <t>Cirurgia Vascular</t>
  </si>
  <si>
    <t>Neurocirurgia</t>
  </si>
  <si>
    <t>Ortopedia e Traumatologia</t>
  </si>
  <si>
    <t>Urologia</t>
  </si>
  <si>
    <t>Não Informado</t>
  </si>
  <si>
    <t>Procedimentos com finalidade diagnóstica [Fontes: Relatórios dos Setores e AGHU]</t>
  </si>
  <si>
    <t>Exames</t>
  </si>
  <si>
    <t>Laboratório Clínico</t>
  </si>
  <si>
    <t>Radiologia</t>
  </si>
  <si>
    <t>Ultrassonografia</t>
  </si>
  <si>
    <t>Tomografia</t>
  </si>
  <si>
    <t>Ressonância Magnética</t>
  </si>
  <si>
    <t>Endocospia</t>
  </si>
  <si>
    <t>Radiologia Intervencionista</t>
  </si>
  <si>
    <t>Número de Pacientes-dia [Fonte: AGHU]</t>
  </si>
  <si>
    <t>UNIDADE</t>
  </si>
  <si>
    <r>
      <t xml:space="preserve">Número de Saídas </t>
    </r>
    <r>
      <rPr>
        <b/>
        <sz val="10"/>
        <color theme="0"/>
        <rFont val="Calibri"/>
        <family val="2"/>
        <scheme val="minor"/>
      </rPr>
      <t>(Geral)</t>
    </r>
    <r>
      <rPr>
        <b/>
        <sz val="14"/>
        <color theme="0"/>
        <rFont val="Calibri"/>
        <family val="2"/>
        <scheme val="minor"/>
      </rPr>
      <t xml:space="preserve"> [Fonte: AGHU]</t>
    </r>
  </si>
  <si>
    <r>
      <t xml:space="preserve">Número de Saídas </t>
    </r>
    <r>
      <rPr>
        <b/>
        <sz val="10"/>
        <color theme="0"/>
        <rFont val="Calibri"/>
        <family val="2"/>
        <scheme val="minor"/>
      </rPr>
      <t>(Alta Médica, Evasão, Desistência de Tratamento, Óbito e Transferência Externa)</t>
    </r>
    <r>
      <rPr>
        <b/>
        <sz val="14"/>
        <color theme="0"/>
        <rFont val="Calibri"/>
        <family val="2"/>
        <scheme val="minor"/>
      </rPr>
      <t xml:space="preserve"> [Fonte: AGHU]</t>
    </r>
  </si>
  <si>
    <r>
      <t xml:space="preserve">Número de Saídas </t>
    </r>
    <r>
      <rPr>
        <b/>
        <sz val="10"/>
        <color theme="0"/>
        <rFont val="Calibri"/>
        <family val="2"/>
        <scheme val="minor"/>
      </rPr>
      <t>(Transferência Interna)</t>
    </r>
    <r>
      <rPr>
        <b/>
        <sz val="14"/>
        <color theme="0"/>
        <rFont val="Calibri"/>
        <family val="2"/>
        <scheme val="minor"/>
      </rPr>
      <t xml:space="preserve"> [Fonte: AGHU]</t>
    </r>
  </si>
  <si>
    <t>Número de Leitos-dia (Operacionais) [Fonte: AGHU]</t>
  </si>
  <si>
    <t>Número de Leitos-dia (Instalados) [Fonte: CNES]</t>
  </si>
  <si>
    <t>Média de Pacientes-dia [Fonte: AGHU]</t>
  </si>
  <si>
    <t>Média de Permanência [Fonte: AGHU]</t>
  </si>
  <si>
    <t>Taxa de Ocupação Hospitalar [Fontes: AGHU e CNES]</t>
  </si>
  <si>
    <t>Taxa de Ocupação Operacional [Fontes: AGHU]</t>
  </si>
  <si>
    <t>Índice de Renovação [Fontes: AGHU]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</si>
</sst>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_-* #,##0.0%_-;\-* #,##0.0%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</font>
    <font>
      <b/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double">
        <color theme="0"/>
      </left>
      <right/>
      <top style="thin">
        <color theme="0"/>
      </top>
      <bottom/>
      <diagonal/>
    </border>
    <border>
      <left style="double">
        <color theme="0"/>
      </left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0" fontId="5" fillId="0" borderId="0" xfId="0" applyFont="1" applyFill="1" applyBorder="1"/>
    <xf numFmtId="0" fontId="5" fillId="0" borderId="0" xfId="0" applyNumberFormat="1" applyFont="1" applyFill="1" applyBorder="1"/>
    <xf numFmtId="10" fontId="5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4" fillId="0" borderId="8" xfId="0" applyNumberFormat="1" applyFont="1" applyBorder="1"/>
    <xf numFmtId="3" fontId="2" fillId="0" borderId="8" xfId="0" applyNumberFormat="1" applyFont="1" applyBorder="1"/>
    <xf numFmtId="0" fontId="2" fillId="0" borderId="7" xfId="0" applyFont="1" applyBorder="1"/>
    <xf numFmtId="164" fontId="2" fillId="0" borderId="8" xfId="1" applyNumberFormat="1" applyFont="1" applyBorder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 applyFill="1" applyAlignment="1">
      <alignment wrapText="1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164" fontId="13" fillId="0" borderId="8" xfId="0" applyNumberFormat="1" applyFont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12" fillId="0" borderId="0" xfId="0" applyFont="1"/>
    <xf numFmtId="0" fontId="7" fillId="0" borderId="0" xfId="0" applyFont="1"/>
    <xf numFmtId="165" fontId="2" fillId="0" borderId="0" xfId="0" applyNumberFormat="1" applyFont="1"/>
    <xf numFmtId="165" fontId="4" fillId="0" borderId="0" xfId="0" applyNumberFormat="1" applyFont="1"/>
    <xf numFmtId="166" fontId="2" fillId="0" borderId="0" xfId="0" applyNumberFormat="1" applyFont="1"/>
    <xf numFmtId="166" fontId="4" fillId="0" borderId="0" xfId="0" applyNumberFormat="1" applyFont="1"/>
    <xf numFmtId="167" fontId="2" fillId="0" borderId="0" xfId="1" applyNumberFormat="1" applyFont="1"/>
    <xf numFmtId="167" fontId="4" fillId="0" borderId="0" xfId="1" applyNumberFormat="1" applyFont="1"/>
    <xf numFmtId="166" fontId="2" fillId="0" borderId="0" xfId="1" applyNumberFormat="1" applyFont="1"/>
    <xf numFmtId="166" fontId="4" fillId="0" borderId="0" xfId="1" applyNumberFormat="1" applyFont="1"/>
    <xf numFmtId="0" fontId="3" fillId="4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7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border diagonalUp="0" diagonalDown="0" outline="0">
        <left style="double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border diagonalUp="0" diagonalDown="0">
        <left style="double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  <border diagonalUp="0" diagonalDown="0" outline="0">
        <left style="double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%"/>
      <border diagonalUp="0" diagonalDown="0">
        <left style="double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7" formatCode="_-* #,##0.0%_-;\-* #,##0.0%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C6E0B4"/>
          <bgColor rgb="FFC6E0B4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E2EFDA"/>
          <bgColor rgb="FFE2EFDA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14 2" pivot="0" count="7">
      <tableStyleElement type="wholeTable" dxfId="750"/>
      <tableStyleElement type="headerRow" dxfId="749"/>
      <tableStyleElement type="totalRow" dxfId="748"/>
      <tableStyleElement type="firstColumn" dxfId="747"/>
      <tableStyleElement type="lastColumn" dxfId="746"/>
      <tableStyleElement type="firstRowStripe" dxfId="745"/>
      <tableStyleElement type="firstColumnStripe" dxfId="7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acDia" displayName="PacDia" ref="A3:N12" totalsRowShown="0" headerRowDxfId="743" dataDxfId="742">
  <autoFilter ref="A3:N12"/>
  <tableColumns count="14">
    <tableColumn id="1" name="UNIDADE" dataDxfId="741"/>
    <tableColumn id="2" name="JAN" dataDxfId="740"/>
    <tableColumn id="3" name="FEV" dataDxfId="739"/>
    <tableColumn id="4" name="MAR" dataDxfId="738"/>
    <tableColumn id="5" name="ABR" dataDxfId="737"/>
    <tableColumn id="6" name="MAI" dataDxfId="736"/>
    <tableColumn id="7" name="JUN" dataDxfId="735"/>
    <tableColumn id="8" name="JUL" dataDxfId="734"/>
    <tableColumn id="9" name="AGO" dataDxfId="733"/>
    <tableColumn id="10" name="SET" dataDxfId="732"/>
    <tableColumn id="11" name="OUT" dataDxfId="731"/>
    <tableColumn id="12" name="NOV" dataDxfId="730"/>
    <tableColumn id="13" name="DEZ" dataDxfId="729"/>
    <tableColumn id="14" name="2015" dataDxfId="728">
      <calculatedColumnFormula>SUM(PacDia[[#This Row],[JAN]:[DEZ]])</calculatedColumnFormula>
    </tableColumn>
  </tableColumns>
  <tableStyleInfo name="TableStyleMedium14" showFirstColumn="0" showLastColumn="0" showRowStripes="1" showColumnStripes="0"/>
</table>
</file>

<file path=xl/tables/table10.xml><?xml version="1.0" encoding="utf-8"?>
<table xmlns="http://schemas.openxmlformats.org/spreadsheetml/2006/main" id="43" name="nSE" displayName="nSE" ref="A25:N34" totalsRowShown="0" headerRowDxfId="599" dataDxfId="598">
  <autoFilter ref="A25:N34"/>
  <tableColumns count="14">
    <tableColumn id="1" name="UNIDADE" dataDxfId="597"/>
    <tableColumn id="2" name="JAN" dataDxfId="596"/>
    <tableColumn id="3" name="FEV" dataDxfId="595"/>
    <tableColumn id="4" name="MAR" dataDxfId="594"/>
    <tableColumn id="5" name="ABR" dataDxfId="593"/>
    <tableColumn id="6" name="MAI" dataDxfId="592"/>
    <tableColumn id="7" name="JUN" dataDxfId="591"/>
    <tableColumn id="8" name="JUL" dataDxfId="590"/>
    <tableColumn id="9" name="AGO" dataDxfId="589"/>
    <tableColumn id="10" name="SET" dataDxfId="588"/>
    <tableColumn id="11" name="OUT" dataDxfId="587"/>
    <tableColumn id="12" name="NOV" dataDxfId="586"/>
    <tableColumn id="13" name="DEZ" dataDxfId="585"/>
    <tableColumn id="14" name="2015" dataDxfId="584">
      <calculatedColumnFormula>SUM(nSE[[#This Row],[JAN]:[DEZ]])</calculatedColumnFormula>
    </tableColumn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id="44" name="nSI" displayName="nSI" ref="A36:N45" totalsRowShown="0" headerRowDxfId="583" dataDxfId="582">
  <autoFilter ref="A36:N45"/>
  <tableColumns count="14">
    <tableColumn id="1" name="UNIDADE" dataDxfId="581"/>
    <tableColumn id="2" name="JAN" dataDxfId="580"/>
    <tableColumn id="3" name="FEV" dataDxfId="579"/>
    <tableColumn id="4" name="MAR" dataDxfId="578"/>
    <tableColumn id="5" name="ABR" dataDxfId="577"/>
    <tableColumn id="6" name="MAI" dataDxfId="576"/>
    <tableColumn id="7" name="JUN" dataDxfId="575"/>
    <tableColumn id="8" name="JUL" dataDxfId="574"/>
    <tableColumn id="9" name="AGO" dataDxfId="573"/>
    <tableColumn id="10" name="SET" dataDxfId="572"/>
    <tableColumn id="11" name="OUT" dataDxfId="571"/>
    <tableColumn id="12" name="NOV" dataDxfId="570"/>
    <tableColumn id="13" name="DEZ" dataDxfId="569"/>
    <tableColumn id="14" name="2015" dataDxfId="568">
      <calculatedColumnFormula>SUM(nSI[[#This Row],[JAN]:[DEZ]])</calculatedColumnFormula>
    </tableColumn>
  </tableColumns>
  <tableStyleInfo name="TableStyleMedium14" showFirstColumn="0" showLastColumn="0" showRowStripes="1" showColumnStripes="0"/>
</table>
</file>

<file path=xl/tables/table12.xml><?xml version="1.0" encoding="utf-8"?>
<table xmlns="http://schemas.openxmlformats.org/spreadsheetml/2006/main" id="4" name="PC_5" displayName="PC_5" ref="A3:N7" totalsRowCount="1" headerRowDxfId="567" dataDxfId="566">
  <autoFilter ref="A3:N6"/>
  <tableColumns count="14">
    <tableColumn id="1" name="Organização de Procedimentos" dataDxfId="565" totalsRowDxfId="564"/>
    <tableColumn id="2" name="JAN" totalsRowFunction="sum" dataDxfId="563" totalsRowDxfId="562"/>
    <tableColumn id="3" name="FEV" totalsRowFunction="sum" dataDxfId="561" totalsRowDxfId="560"/>
    <tableColumn id="4" name="MAR" totalsRowFunction="sum" dataDxfId="559" totalsRowDxfId="558"/>
    <tableColumn id="5" name="ABR" totalsRowFunction="sum" dataDxfId="557" totalsRowDxfId="556"/>
    <tableColumn id="6" name="MAI" totalsRowFunction="sum" dataDxfId="555" totalsRowDxfId="554"/>
    <tableColumn id="7" name="JUN" totalsRowFunction="sum" dataDxfId="553" totalsRowDxfId="552"/>
    <tableColumn id="8" name="JUL" totalsRowFunction="sum" dataDxfId="551" totalsRowDxfId="550"/>
    <tableColumn id="9" name="AGO" totalsRowFunction="sum" dataDxfId="549" totalsRowDxfId="548"/>
    <tableColumn id="10" name="SET" totalsRowFunction="sum" dataDxfId="547" totalsRowDxfId="546"/>
    <tableColumn id="11" name="OUT" totalsRowFunction="sum" dataDxfId="545" totalsRowDxfId="544"/>
    <tableColumn id="12" name="NOV" totalsRowFunction="sum" dataDxfId="543" totalsRowDxfId="542"/>
    <tableColumn id="13" name="DEZ" totalsRowFunction="sum" dataDxfId="541" totalsRowDxfId="540"/>
    <tableColumn id="14" name="2015" totalsRowFunction="sum" totalsRowDxfId="539">
      <calculatedColumnFormula>SUM(PC_5[[#This Row],[JAN]:[DEZ]])</calculatedColumnFormula>
    </tableColumn>
  </tableColumns>
  <tableStyleInfo name="TableStyleMedium14" showFirstColumn="0" showLastColumn="0" showRowStripes="1" showColumnStripes="0"/>
</table>
</file>

<file path=xl/tables/table13.xml><?xml version="1.0" encoding="utf-8"?>
<table xmlns="http://schemas.openxmlformats.org/spreadsheetml/2006/main" id="5" name="AIH_6" displayName="AIH_6" ref="A11:N12" totalsRowShown="0" headerRowDxfId="538" dataDxfId="537">
  <autoFilter ref="A11:N12"/>
  <tableColumns count="14">
    <tableColumn id="1" name="Entradas" dataDxfId="536"/>
    <tableColumn id="2" name="JAN" dataDxfId="535"/>
    <tableColumn id="3" name="FEV" dataDxfId="534"/>
    <tableColumn id="4" name="MAR" dataDxfId="533"/>
    <tableColumn id="5" name="ABR" dataDxfId="532"/>
    <tableColumn id="6" name="MAI" dataDxfId="531"/>
    <tableColumn id="7" name="JUN" dataDxfId="530"/>
    <tableColumn id="8" name="JUL" dataDxfId="529"/>
    <tableColumn id="9" name="AGO" dataDxfId="528"/>
    <tableColumn id="10" name="SET" dataDxfId="527"/>
    <tableColumn id="11" name="OUT" dataDxfId="526"/>
    <tableColumn id="12" name="NOV" dataDxfId="525"/>
    <tableColumn id="13" name="DEZ" dataDxfId="524"/>
    <tableColumn id="14" name="2015" dataDxfId="523">
      <calculatedColumnFormula>SUM(AIH_6[[JAN]:[DEZ]])</calculatedColumnFormula>
    </tableColumn>
  </tableColumns>
  <tableStyleInfo name="TableStyleMedium14" showFirstColumn="0" showLastColumn="0" showRowStripes="1" showColumnStripes="0"/>
</table>
</file>

<file path=xl/tables/table14.xml><?xml version="1.0" encoding="utf-8"?>
<table xmlns="http://schemas.openxmlformats.org/spreadsheetml/2006/main" id="6" name="AT_7" displayName="AT_7" ref="A16:N17" totalsRowShown="0" headerRowDxfId="522" dataDxfId="521">
  <autoFilter ref="A16:N17"/>
  <tableColumns count="14">
    <tableColumn id="1" name="Atendimentos" dataDxfId="520"/>
    <tableColumn id="2" name="JAN" dataDxfId="519"/>
    <tableColumn id="3" name="FEV" dataDxfId="518"/>
    <tableColumn id="4" name="MAR" dataDxfId="517"/>
    <tableColumn id="5" name="ABR" dataDxfId="516"/>
    <tableColumn id="6" name="MAI" dataDxfId="515"/>
    <tableColumn id="7" name="JUN" dataDxfId="514"/>
    <tableColumn id="8" name="JUL" dataDxfId="513"/>
    <tableColumn id="9" name="AGO" dataDxfId="512"/>
    <tableColumn id="10" name="SET" dataDxfId="511"/>
    <tableColumn id="11" name="OUT" dataDxfId="510"/>
    <tableColumn id="12" name="NOV" dataDxfId="509">
      <calculatedColumnFormula>SUM(L12,L7)</calculatedColumnFormula>
    </tableColumn>
    <tableColumn id="13" name="DEZ" dataDxfId="508">
      <calculatedColumnFormula>SUM(M12,M7)</calculatedColumnFormula>
    </tableColumn>
    <tableColumn id="14" name="2015" dataDxfId="507">
      <calculatedColumnFormula>SUM(AT_7[[JAN]:[DEZ]])</calculatedColumnFormula>
    </tableColumn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21" name="ATT" displayName="ATT" ref="A2:M3" totalsRowShown="0" headerRowDxfId="506" dataDxfId="505">
  <autoFilter ref="A2:M3"/>
  <tableColumns count="13">
    <tableColumn id="1" name="ATT" dataDxfId="504"/>
    <tableColumn id="2" name="Jan" dataDxfId="503"/>
    <tableColumn id="3" name="Fev" dataDxfId="502"/>
    <tableColumn id="4" name="Mar" dataDxfId="501"/>
    <tableColumn id="5" name="Abr" dataDxfId="500"/>
    <tableColumn id="6" name="Mai" dataDxfId="499"/>
    <tableColumn id="7" name="Jun" dataDxfId="498"/>
    <tableColumn id="8" name="Jul" dataDxfId="497"/>
    <tableColumn id="9" name="Ago" dataDxfId="496"/>
    <tableColumn id="10" name="Set" dataDxfId="495"/>
    <tableColumn id="11" name="Out" dataDxfId="494"/>
    <tableColumn id="12" name="Nov" dataDxfId="493"/>
    <tableColumn id="13" name="Dez" dataDxfId="492"/>
  </tableColumns>
  <tableStyleInfo name="TableStyleMedium14" showFirstColumn="0" showLastColumn="0" showRowStripes="1" showColumnStripes="0"/>
</table>
</file>

<file path=xl/tables/table16.xml><?xml version="1.0" encoding="utf-8"?>
<table xmlns="http://schemas.openxmlformats.org/spreadsheetml/2006/main" id="22" name="SEXO23" displayName="SEXO23" ref="A6:M10" totalsRowCount="1" headerRowDxfId="491" dataDxfId="490" totalsRowDxfId="489">
  <autoFilter ref="A6:M9"/>
  <tableColumns count="13">
    <tableColumn id="1" name="SEXO" dataDxfId="488" totalsRowDxfId="487"/>
    <tableColumn id="2" name="Jan" totalsRowFunction="sum" dataDxfId="486" totalsRowDxfId="485"/>
    <tableColumn id="3" name="Fev" totalsRowFunction="sum" dataDxfId="484" totalsRowDxfId="483"/>
    <tableColumn id="4" name="Mar" totalsRowFunction="sum" dataDxfId="482" totalsRowDxfId="481"/>
    <tableColumn id="5" name="Abr" totalsRowFunction="sum" dataDxfId="480" totalsRowDxfId="479"/>
    <tableColumn id="6" name="Mai" totalsRowFunction="sum" dataDxfId="478" totalsRowDxfId="477"/>
    <tableColumn id="7" name="Jun" totalsRowFunction="sum" dataDxfId="476" totalsRowDxfId="475"/>
    <tableColumn id="8" name="Jul" totalsRowFunction="sum" dataDxfId="474" totalsRowDxfId="473"/>
    <tableColumn id="9" name="Ago" totalsRowFunction="sum" dataDxfId="472" totalsRowDxfId="471"/>
    <tableColumn id="10" name="Set" totalsRowFunction="sum" dataDxfId="470" totalsRowDxfId="469"/>
    <tableColumn id="11" name="Out" totalsRowFunction="sum" dataDxfId="468" totalsRowDxfId="467"/>
    <tableColumn id="12" name="Nov" totalsRowFunction="sum" dataDxfId="466" totalsRowDxfId="465"/>
    <tableColumn id="13" name="Dez" totalsRowFunction="sum" dataDxfId="464" totalsRowDxfId="463"/>
  </tableColumns>
  <tableStyleInfo name="TableStyleMedium14" showFirstColumn="0" showLastColumn="0" showRowStripes="1" showColumnStripes="0"/>
</table>
</file>

<file path=xl/tables/table17.xml><?xml version="1.0" encoding="utf-8"?>
<table xmlns="http://schemas.openxmlformats.org/spreadsheetml/2006/main" id="23" name="NA" displayName="NA" ref="A13:M21" totalsRowCount="1" headerRowDxfId="462" dataDxfId="461" totalsRowDxfId="459" tableBorderDxfId="460">
  <autoFilter ref="A13:M20"/>
  <tableColumns count="13">
    <tableColumn id="1" name="NATUREZA DO ACIDENTE" dataDxfId="458" totalsRowDxfId="457"/>
    <tableColumn id="2" name="Jan" totalsRowFunction="sum" dataDxfId="456" totalsRowDxfId="455"/>
    <tableColumn id="3" name="Fev" totalsRowFunction="sum" dataDxfId="454" totalsRowDxfId="453"/>
    <tableColumn id="4" name="Mar" totalsRowFunction="sum" dataDxfId="452" totalsRowDxfId="451"/>
    <tableColumn id="5" name="Abr" totalsRowFunction="sum" dataDxfId="450" totalsRowDxfId="449"/>
    <tableColumn id="6" name="Mai" totalsRowFunction="sum" dataDxfId="448" totalsRowDxfId="447"/>
    <tableColumn id="7" name="Jun" totalsRowFunction="sum" dataDxfId="446" totalsRowDxfId="445"/>
    <tableColumn id="8" name="Jul" totalsRowFunction="sum" dataDxfId="444" totalsRowDxfId="443"/>
    <tableColumn id="9" name="Ago" totalsRowFunction="sum" dataDxfId="442" totalsRowDxfId="441"/>
    <tableColumn id="10" name="Set" totalsRowFunction="sum" dataDxfId="440" totalsRowDxfId="439"/>
    <tableColumn id="11" name="Out" totalsRowFunction="sum" dataDxfId="438" totalsRowDxfId="437"/>
    <tableColumn id="12" name="Nov" totalsRowFunction="sum" dataDxfId="436" totalsRowDxfId="435"/>
    <tableColumn id="13" name="Dez" totalsRowFunction="sum" dataDxfId="434" totalsRowDxfId="433"/>
  </tableColumns>
  <tableStyleInfo name="TableStyleMedium14" showFirstColumn="0" showLastColumn="0" showRowStripes="1" showColumnStripes="0"/>
</table>
</file>

<file path=xl/tables/table18.xml><?xml version="1.0" encoding="utf-8"?>
<table xmlns="http://schemas.openxmlformats.org/spreadsheetml/2006/main" id="24" name="FRA" displayName="FRA" ref="A24:M30" totalsRowCount="1" headerRowDxfId="432" dataDxfId="431" totalsRowDxfId="429" tableBorderDxfId="430">
  <autoFilter ref="A24:M29"/>
  <tableColumns count="13">
    <tableColumn id="1" name="FATORES RELACIONADOS AO ACIDENTE" dataDxfId="428" totalsRowDxfId="427"/>
    <tableColumn id="2" name="Jan" totalsRowFunction="sum" dataDxfId="426" totalsRowDxfId="425"/>
    <tableColumn id="3" name="Fev" totalsRowFunction="sum" dataDxfId="424" totalsRowDxfId="423"/>
    <tableColumn id="4" name="Mar" totalsRowFunction="sum" dataDxfId="422" totalsRowDxfId="421"/>
    <tableColumn id="5" name="Abr" totalsRowFunction="sum" dataDxfId="420" totalsRowDxfId="419"/>
    <tableColumn id="6" name="Mai" totalsRowFunction="sum" dataDxfId="418" totalsRowDxfId="417"/>
    <tableColumn id="7" name="Jun" totalsRowFunction="sum" dataDxfId="416" totalsRowDxfId="415"/>
    <tableColumn id="8" name="Jul" totalsRowFunction="sum" dataDxfId="414" totalsRowDxfId="413"/>
    <tableColumn id="9" name="Ago" totalsRowFunction="sum" dataDxfId="412" totalsRowDxfId="411"/>
    <tableColumn id="10" name="Set" totalsRowFunction="sum" dataDxfId="410" totalsRowDxfId="409"/>
    <tableColumn id="11" name="Out" totalsRowFunction="sum" dataDxfId="408" totalsRowDxfId="407"/>
    <tableColumn id="12" name="Nov" totalsRowFunction="sum" dataDxfId="406" totalsRowDxfId="405"/>
    <tableColumn id="13" name="Dez" totalsRowFunction="sum" dataDxfId="404" totalsRowDxfId="403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25" name="FE" displayName="FE" ref="A33:M39" totalsRowCount="1" headerRowDxfId="402" dataDxfId="401" totalsRowDxfId="399" tableBorderDxfId="400">
  <autoFilter ref="A33:M38"/>
  <tableColumns count="13">
    <tableColumn id="1" name="FAIXA ETÁRIA (ANOS)" dataDxfId="398" totalsRowDxfId="397"/>
    <tableColumn id="2" name="Jan" totalsRowFunction="sum" dataDxfId="396" totalsRowDxfId="395"/>
    <tableColumn id="3" name="Fev" totalsRowFunction="sum" dataDxfId="394" totalsRowDxfId="393"/>
    <tableColumn id="4" name="Mar" totalsRowFunction="sum" dataDxfId="392" totalsRowDxfId="391"/>
    <tableColumn id="5" name="Abr" totalsRowFunction="sum" dataDxfId="390" totalsRowDxfId="389"/>
    <tableColumn id="6" name="Mai" totalsRowFunction="sum" dataDxfId="388" totalsRowDxfId="387"/>
    <tableColumn id="7" name="Jun" totalsRowFunction="sum" dataDxfId="386" totalsRowDxfId="385"/>
    <tableColumn id="8" name="Jul" totalsRowFunction="sum" dataDxfId="384" totalsRowDxfId="383"/>
    <tableColumn id="9" name="Ago" totalsRowFunction="sum" dataDxfId="382" totalsRowDxfId="381"/>
    <tableColumn id="10" name="Set" totalsRowFunction="sum" dataDxfId="380" totalsRowDxfId="379"/>
    <tableColumn id="11" name="Out" totalsRowFunction="sum" dataDxfId="378" totalsRowDxfId="377"/>
    <tableColumn id="12" name="Nov" totalsRowFunction="sum" dataDxfId="376" totalsRowDxfId="375"/>
    <tableColumn id="13" name="Dez" totalsRowFunction="sum" dataDxfId="374" totalsRowDxfId="373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3" name="nS" displayName="nS" ref="A14:N23" totalsRowShown="0" headerRowDxfId="727" dataDxfId="726">
  <autoFilter ref="A14:N23"/>
  <tableColumns count="14">
    <tableColumn id="1" name="UNIDADE" dataDxfId="725"/>
    <tableColumn id="2" name="JAN" dataDxfId="724"/>
    <tableColumn id="3" name="FEV" dataDxfId="723"/>
    <tableColumn id="4" name="MAR" dataDxfId="722"/>
    <tableColumn id="5" name="ABR" dataDxfId="721"/>
    <tableColumn id="6" name="MAI" dataDxfId="720"/>
    <tableColumn id="7" name="JUN" dataDxfId="719"/>
    <tableColumn id="8" name="JUL" dataDxfId="718"/>
    <tableColumn id="9" name="AGO" dataDxfId="717"/>
    <tableColumn id="10" name="SET" dataDxfId="716"/>
    <tableColumn id="11" name="OUT" dataDxfId="715"/>
    <tableColumn id="12" name="NOV" dataDxfId="714"/>
    <tableColumn id="13" name="DEZ" dataDxfId="713"/>
    <tableColumn id="14" name="2015" dataDxfId="712">
      <calculatedColumnFormula>SUM(nS[[#This Row],[JAN]:[DEZ]])</calculatedColumnFormula>
    </tableColumn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6" name="DSA" displayName="DSA" ref="A42:M51" totalsRowCount="1" headerRowDxfId="372" dataDxfId="371" totalsRowDxfId="369" tableBorderDxfId="370">
  <autoFilter ref="A42:M50"/>
  <tableColumns count="13">
    <tableColumn id="1" name="DIA DA SEMANA DO ACIDENTE" dataDxfId="368" totalsRowDxfId="367"/>
    <tableColumn id="2" name="Jan" totalsRowFunction="sum" dataDxfId="366" totalsRowDxfId="365"/>
    <tableColumn id="3" name="Fev" totalsRowFunction="sum" dataDxfId="364" totalsRowDxfId="363"/>
    <tableColumn id="4" name="Mar" totalsRowFunction="sum" dataDxfId="362" totalsRowDxfId="361"/>
    <tableColumn id="5" name="Abr" totalsRowFunction="sum" dataDxfId="360" totalsRowDxfId="359"/>
    <tableColumn id="6" name="Mai" totalsRowFunction="sum" dataDxfId="358" totalsRowDxfId="357"/>
    <tableColumn id="7" name="Jun" totalsRowFunction="sum" dataDxfId="356" totalsRowDxfId="355"/>
    <tableColumn id="8" name="Jul" totalsRowFunction="sum" dataDxfId="354" totalsRowDxfId="353"/>
    <tableColumn id="9" name="Ago" totalsRowFunction="sum" dataDxfId="352" totalsRowDxfId="351"/>
    <tableColumn id="10" name="Set" totalsRowFunction="sum" dataDxfId="350" totalsRowDxfId="349"/>
    <tableColumn id="11" name="Out" totalsRowFunction="sum" dataDxfId="348" totalsRowDxfId="347"/>
    <tableColumn id="12" name="Nov" totalsRowFunction="sum" dataDxfId="346" totalsRowDxfId="345"/>
    <tableColumn id="13" name="Dez" totalsRowFunction="sum" dataDxfId="344" totalsRowDxfId="343"/>
  </tableColumns>
  <tableStyleInfo name="TableStyleMedium14" showFirstColumn="0" showLastColumn="0" showRowStripes="1" showColumnStripes="0"/>
</table>
</file>

<file path=xl/tables/table21.xml><?xml version="1.0" encoding="utf-8"?>
<table xmlns="http://schemas.openxmlformats.org/spreadsheetml/2006/main" id="27" name="ART" displayName="ART" ref="A54:M60" totalsRowCount="1" headerRowDxfId="342" dataDxfId="341" totalsRowDxfId="339" tableBorderDxfId="340">
  <autoFilter ref="A54:M59"/>
  <tableColumns count="13">
    <tableColumn id="1" name="ACIDENTE RELACIONADO AO TRABALHO" totalsRowDxfId="338"/>
    <tableColumn id="2" name="Jan" totalsRowFunction="sum" dataDxfId="337" totalsRowDxfId="336"/>
    <tableColumn id="3" name="Fev" totalsRowFunction="sum" dataDxfId="335" totalsRowDxfId="334"/>
    <tableColumn id="4" name="Mar" totalsRowFunction="sum" dataDxfId="333" totalsRowDxfId="332"/>
    <tableColumn id="5" name="Abr" totalsRowFunction="sum" dataDxfId="331" totalsRowDxfId="330"/>
    <tableColumn id="6" name="Mai" totalsRowFunction="sum" dataDxfId="329" totalsRowDxfId="328"/>
    <tableColumn id="7" name="Jun" totalsRowFunction="sum" dataDxfId="327" totalsRowDxfId="326"/>
    <tableColumn id="8" name="Jul" totalsRowFunction="sum" dataDxfId="325" totalsRowDxfId="324"/>
    <tableColumn id="9" name="Ago" totalsRowFunction="sum" dataDxfId="323" totalsRowDxfId="322"/>
    <tableColumn id="10" name="Set" totalsRowFunction="sum" dataDxfId="321" totalsRowDxfId="320"/>
    <tableColumn id="11" name="Out" totalsRowFunction="sum" dataDxfId="319" totalsRowDxfId="318"/>
    <tableColumn id="12" name="Nov" totalsRowFunction="sum" dataDxfId="317" totalsRowDxfId="316"/>
    <tableColumn id="13" name="Dez" totalsRowFunction="sum" dataDxfId="315" totalsRowDxfId="314"/>
  </tableColumns>
  <tableStyleInfo name="TableStyleMedium14" showFirstColumn="0" showLastColumn="0" showRowStripes="1" showColumnStripes="0"/>
</table>
</file>

<file path=xl/tables/table22.xml><?xml version="1.0" encoding="utf-8"?>
<table xmlns="http://schemas.openxmlformats.org/spreadsheetml/2006/main" id="28" name="ML" displayName="ML" ref="A63:M70" totalsRowCount="1" headerRowDxfId="313" dataDxfId="312" totalsRowDxfId="310" tableBorderDxfId="311">
  <autoFilter ref="A63:M69"/>
  <tableColumns count="13">
    <tableColumn id="1" name="MEIO DE LOCOMOÇÃO" dataDxfId="309" totalsRowDxfId="308"/>
    <tableColumn id="2" name="Jan" totalsRowFunction="sum" dataDxfId="307" totalsRowDxfId="306"/>
    <tableColumn id="3" name="Fev" totalsRowFunction="sum" dataDxfId="305" totalsRowDxfId="304"/>
    <tableColumn id="4" name="Mar" totalsRowFunction="sum" dataDxfId="303" totalsRowDxfId="302"/>
    <tableColumn id="5" name="Abr" totalsRowFunction="sum" dataDxfId="301" totalsRowDxfId="300"/>
    <tableColumn id="6" name="Mai" totalsRowFunction="sum" dataDxfId="299" totalsRowDxfId="298"/>
    <tableColumn id="7" name="Jun" totalsRowFunction="sum" dataDxfId="297" totalsRowDxfId="296"/>
    <tableColumn id="8" name="Jul" totalsRowFunction="sum" dataDxfId="295" totalsRowDxfId="294"/>
    <tableColumn id="9" name="Ago" totalsRowFunction="sum" dataDxfId="293" totalsRowDxfId="292"/>
    <tableColumn id="10" name="Set" totalsRowFunction="sum" dataDxfId="291" totalsRowDxfId="290"/>
    <tableColumn id="11" name="Out" totalsRowFunction="sum" dataDxfId="289" totalsRowDxfId="288"/>
    <tableColumn id="12" name="Nov" totalsRowFunction="sum" dataDxfId="287" totalsRowDxfId="286"/>
    <tableColumn id="13" name="Dez" totalsRowFunction="sum" dataDxfId="285" totalsRowDxfId="284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9" name="OPA" displayName="OPA" ref="A73:M86" totalsRowCount="1" headerRowDxfId="283" dataDxfId="282" totalsRowDxfId="280" tableBorderDxfId="281">
  <autoFilter ref="A73:M85"/>
  <tableColumns count="13">
    <tableColumn id="1" name="OUTRA PARTE ENVOLVIDA NO ACIDENTE" dataDxfId="279" totalsRowDxfId="278"/>
    <tableColumn id="2" name="Jan" totalsRowFunction="sum" dataDxfId="277" totalsRowDxfId="276"/>
    <tableColumn id="3" name="Fev" totalsRowFunction="sum" dataDxfId="275" totalsRowDxfId="274"/>
    <tableColumn id="4" name="Mar" totalsRowFunction="sum" dataDxfId="273" totalsRowDxfId="272"/>
    <tableColumn id="5" name="Abr" totalsRowFunction="sum" dataDxfId="271" totalsRowDxfId="270"/>
    <tableColumn id="6" name="Mai" totalsRowFunction="sum" dataDxfId="269" totalsRowDxfId="268"/>
    <tableColumn id="7" name="Jun" totalsRowFunction="sum" dataDxfId="267" totalsRowDxfId="266"/>
    <tableColumn id="8" name="Jul" totalsRowFunction="sum" dataDxfId="265" totalsRowDxfId="264"/>
    <tableColumn id="9" name="Ago" totalsRowFunction="sum" dataDxfId="263" totalsRowDxfId="262"/>
    <tableColumn id="10" name="Set" totalsRowFunction="sum" dataDxfId="261" totalsRowDxfId="260"/>
    <tableColumn id="11" name="Out" totalsRowFunction="sum" dataDxfId="259" totalsRowDxfId="258"/>
    <tableColumn id="12" name="Nov" totalsRowFunction="sum" dataDxfId="257" totalsRowDxfId="256"/>
    <tableColumn id="13" name="Dez" totalsRowFunction="sum" dataDxfId="255" totalsRowDxfId="254"/>
  </tableColumns>
  <tableStyleInfo name="TableStyleMedium14" showFirstColumn="0" showLastColumn="0" showRowStripes="1" showColumnStripes="0"/>
</table>
</file>

<file path=xl/tables/table24.xml><?xml version="1.0" encoding="utf-8"?>
<table xmlns="http://schemas.openxmlformats.org/spreadsheetml/2006/main" id="30" name="EVO" displayName="EVO" ref="A89:M98" totalsRowCount="1" headerRowDxfId="253" dataDxfId="252" totalsRowDxfId="250" tableBorderDxfId="251">
  <autoFilter ref="A89:M97"/>
  <tableColumns count="13">
    <tableColumn id="1" name="EVOLUÇÃO EM ATÉ 48 HORAS DO ATENDIMENTO" dataDxfId="249" totalsRowDxfId="248"/>
    <tableColumn id="2" name="Jan" totalsRowFunction="sum" dataDxfId="247" totalsRowDxfId="246"/>
    <tableColumn id="3" name="Fev" totalsRowFunction="sum" dataDxfId="245" totalsRowDxfId="244"/>
    <tableColumn id="4" name="Mar" totalsRowFunction="sum" dataDxfId="243" totalsRowDxfId="242"/>
    <tableColumn id="5" name="Abr" totalsRowFunction="sum" dataDxfId="241" totalsRowDxfId="240"/>
    <tableColumn id="6" name="Mai" totalsRowFunction="sum" dataDxfId="239" totalsRowDxfId="238"/>
    <tableColumn id="7" name="Jun" totalsRowFunction="sum" dataDxfId="237" totalsRowDxfId="236"/>
    <tableColumn id="8" name="Jul" totalsRowFunction="sum" dataDxfId="235" totalsRowDxfId="234"/>
    <tableColumn id="9" name="Ago" totalsRowFunction="sum" dataDxfId="233" totalsRowDxfId="232"/>
    <tableColumn id="10" name="Set" totalsRowFunction="sum" dataDxfId="231" totalsRowDxfId="230"/>
    <tableColumn id="11" name="Out" totalsRowFunction="sum" dataDxfId="229" totalsRowDxfId="228"/>
    <tableColumn id="12" name="Nov" totalsRowFunction="sum" dataDxfId="227" totalsRowDxfId="226"/>
    <tableColumn id="13" name="Dez" totalsRowFunction="sum" dataDxfId="225" totalsRowDxfId="224"/>
  </tableColumns>
  <tableStyleInfo name="TableStyleMedium14" showFirstColumn="0" showLastColumn="0" showRowStripes="1" showColumnStripes="0"/>
</table>
</file>

<file path=xl/tables/table25.xml><?xml version="1.0" encoding="utf-8"?>
<table xmlns="http://schemas.openxmlformats.org/spreadsheetml/2006/main" id="31" name="ATT_M" displayName="ATT_M" ref="A2:M3" totalsRowShown="0" headerRowDxfId="223" dataDxfId="222">
  <autoFilter ref="A2:M3"/>
  <tableColumns count="13">
    <tableColumn id="1" name="ATT" dataDxfId="221"/>
    <tableColumn id="2" name="Jan" dataDxfId="220"/>
    <tableColumn id="3" name="Fev" dataDxfId="219"/>
    <tableColumn id="4" name="Mar" dataDxfId="218"/>
    <tableColumn id="5" name="Abr" dataDxfId="217"/>
    <tableColumn id="6" name="Mai" dataDxfId="216"/>
    <tableColumn id="7" name="Jun" dataDxfId="215"/>
    <tableColumn id="8" name="Jul" dataDxfId="214"/>
    <tableColumn id="9" name="Ago" dataDxfId="213"/>
    <tableColumn id="10" name="Set" dataDxfId="212"/>
    <tableColumn id="11" name="Out" dataDxfId="211"/>
    <tableColumn id="12" name="Nov" dataDxfId="210"/>
    <tableColumn id="13" name="Dez" dataDxfId="209"/>
  </tableColumns>
  <tableStyleInfo name="TableStyleMedium14" showFirstColumn="0" showLastColumn="0" showRowStripes="1" showColumnStripes="0"/>
</table>
</file>

<file path=xl/tables/table26.xml><?xml version="1.0" encoding="utf-8"?>
<table xmlns="http://schemas.openxmlformats.org/spreadsheetml/2006/main" id="32" name="SEXO_M" displayName="SEXO_M" ref="A6:M10" totalsRowCount="1" headerRowDxfId="208" dataDxfId="207" totalsRowDxfId="206">
  <autoFilter ref="A6:M9"/>
  <tableColumns count="13">
    <tableColumn id="1" name="SEXO" totalsRowDxfId="205"/>
    <tableColumn id="2" name="Jan" totalsRowFunction="sum" totalsRowDxfId="204"/>
    <tableColumn id="3" name="Fev" totalsRowFunction="sum" totalsRowDxfId="203"/>
    <tableColumn id="4" name="Mar" totalsRowFunction="sum" totalsRowDxfId="202"/>
    <tableColumn id="5" name="Abr" totalsRowFunction="sum" totalsRowDxfId="201"/>
    <tableColumn id="6" name="Mai" totalsRowFunction="sum" totalsRowDxfId="200"/>
    <tableColumn id="7" name="Jun" totalsRowFunction="sum" totalsRowDxfId="199"/>
    <tableColumn id="8" name="Jul" totalsRowFunction="sum" totalsRowDxfId="198"/>
    <tableColumn id="9" name="Ago" totalsRowFunction="sum" totalsRowDxfId="197"/>
    <tableColumn id="10" name="Set" totalsRowFunction="sum" totalsRowDxfId="196"/>
    <tableColumn id="11" name="Out" totalsRowFunction="sum" totalsRowDxfId="195"/>
    <tableColumn id="12" name="Nov" totalsRowFunction="sum" totalsRowDxfId="194"/>
    <tableColumn id="13" name="Dez" totalsRowFunction="sum" totalsRowDxfId="193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33" name="NA_M" displayName="NA_M" ref="A13:M21" totalsRowCount="1" headerRowDxfId="192" dataDxfId="191" totalsRowDxfId="189" tableBorderDxfId="190">
  <autoFilter ref="A13:M20"/>
  <tableColumns count="13">
    <tableColumn id="1" name="NATUREZA DO ACIDENTE" totalsRowDxfId="188"/>
    <tableColumn id="2" name="Jan" totalsRowFunction="sum" totalsRowDxfId="187"/>
    <tableColumn id="3" name="Fev" totalsRowFunction="sum" totalsRowDxfId="186"/>
    <tableColumn id="4" name="Mar" totalsRowFunction="sum" totalsRowDxfId="185"/>
    <tableColumn id="5" name="Abr" totalsRowFunction="sum" totalsRowDxfId="184"/>
    <tableColumn id="6" name="Mai" totalsRowFunction="sum" totalsRowDxfId="183"/>
    <tableColumn id="7" name="Jun" totalsRowFunction="sum" totalsRowDxfId="182"/>
    <tableColumn id="8" name="Jul" totalsRowFunction="sum" totalsRowDxfId="181"/>
    <tableColumn id="9" name="Ago" totalsRowFunction="sum" totalsRowDxfId="180"/>
    <tableColumn id="10" name="Set" totalsRowFunction="sum" totalsRowDxfId="179"/>
    <tableColumn id="11" name="Out" totalsRowFunction="sum" totalsRowDxfId="178"/>
    <tableColumn id="12" name="Nov" totalsRowFunction="sum" totalsRowDxfId="177"/>
    <tableColumn id="13" name="Dez" totalsRowFunction="sum" totalsRowDxfId="176"/>
  </tableColumns>
  <tableStyleInfo name="TableStyleMedium14" showFirstColumn="0" showLastColumn="0" showRowStripes="1" showColumnStripes="0"/>
</table>
</file>

<file path=xl/tables/table28.xml><?xml version="1.0" encoding="utf-8"?>
<table xmlns="http://schemas.openxmlformats.org/spreadsheetml/2006/main" id="34" name="FRA_M" displayName="FRA_M" ref="A24:M29" totalsRowCount="1" headerRowDxfId="175" dataDxfId="174" tableBorderDxfId="173">
  <autoFilter ref="A24:M28"/>
  <tableColumns count="13">
    <tableColumn id="1" name="FATORES RELACIONADOS AO ACIDENTE" dataDxfId="172" totalsRowDxfId="171"/>
    <tableColumn id="2" name="Jan" totalsRowFunction="sum" dataDxfId="170" totalsRowDxfId="169"/>
    <tableColumn id="3" name="Fev" totalsRowFunction="sum" dataDxfId="168" totalsRowDxfId="167"/>
    <tableColumn id="4" name="Mar" totalsRowFunction="sum" dataDxfId="166" totalsRowDxfId="165"/>
    <tableColumn id="5" name="Abr" totalsRowFunction="sum" dataDxfId="164" totalsRowDxfId="163"/>
    <tableColumn id="6" name="Mai" totalsRowFunction="sum" dataDxfId="162" totalsRowDxfId="161"/>
    <tableColumn id="7" name="Jun" totalsRowFunction="sum" dataDxfId="160" totalsRowDxfId="159"/>
    <tableColumn id="8" name="Jul" totalsRowFunction="sum" dataDxfId="158" totalsRowDxfId="157"/>
    <tableColumn id="9" name="Ago" totalsRowFunction="sum" dataDxfId="156" totalsRowDxfId="155"/>
    <tableColumn id="10" name="Set" totalsRowFunction="sum" dataDxfId="154" totalsRowDxfId="153"/>
    <tableColumn id="11" name="Out" totalsRowFunction="sum" dataDxfId="152" totalsRowDxfId="151"/>
    <tableColumn id="12" name="Nov" totalsRowFunction="sum" dataDxfId="150" totalsRowDxfId="149"/>
    <tableColumn id="13" name="Dez" totalsRowFunction="sum" dataDxfId="148" totalsRowDxfId="147"/>
  </tableColumns>
  <tableStyleInfo name="TableStyleMedium14" showFirstColumn="0" showLastColumn="0" showRowStripes="1" showColumnStripes="0"/>
</table>
</file>

<file path=xl/tables/table29.xml><?xml version="1.0" encoding="utf-8"?>
<table xmlns="http://schemas.openxmlformats.org/spreadsheetml/2006/main" id="35" name="FE_M" displayName="FE_M" ref="A32:M38" totalsRowCount="1" headerRowDxfId="146" dataDxfId="145" tableBorderDxfId="144">
  <autoFilter ref="A32:M37"/>
  <tableColumns count="13">
    <tableColumn id="1" name="FAIXA ETÁRIA (ANOS)" dataDxfId="143" totalsRowDxfId="142"/>
    <tableColumn id="2" name="Jan" totalsRowFunction="sum" totalsRowDxfId="141"/>
    <tableColumn id="3" name="Fev" totalsRowFunction="sum" totalsRowDxfId="140"/>
    <tableColumn id="4" name="Mar" totalsRowFunction="sum" totalsRowDxfId="139"/>
    <tableColumn id="5" name="Abr" totalsRowFunction="sum" totalsRowDxfId="138"/>
    <tableColumn id="6" name="Mai" totalsRowFunction="sum" totalsRowDxfId="137"/>
    <tableColumn id="7" name="Jun" totalsRowFunction="sum" totalsRowDxfId="136"/>
    <tableColumn id="8" name="Jul" totalsRowFunction="sum" totalsRowDxfId="135"/>
    <tableColumn id="9" name="Ago" totalsRowFunction="sum" totalsRowDxfId="134"/>
    <tableColumn id="10" name="Set" totalsRowFunction="sum" totalsRowDxfId="133"/>
    <tableColumn id="11" name="Out" totalsRowFunction="sum" totalsRowDxfId="132"/>
    <tableColumn id="12" name="Nov" totalsRowFunction="sum" totalsRowDxfId="131"/>
    <tableColumn id="13" name="Dez" totalsRowFunction="sum" totalsRowDxfId="130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8" name="LeitoDia" displayName="LeitoDia" ref="A47:N56" totalsRowShown="0" headerRowDxfId="711" dataDxfId="710">
  <autoFilter ref="A47:N56"/>
  <tableColumns count="14">
    <tableColumn id="1" name="UNIDADE" dataDxfId="709"/>
    <tableColumn id="2" name="JAN" dataDxfId="708"/>
    <tableColumn id="3" name="FEV" dataDxfId="707"/>
    <tableColumn id="4" name="MAR" dataDxfId="706"/>
    <tableColumn id="5" name="ABR" dataDxfId="705"/>
    <tableColumn id="6" name="MAI" dataDxfId="704"/>
    <tableColumn id="7" name="JUN" dataDxfId="703"/>
    <tableColumn id="8" name="JUL" dataDxfId="702"/>
    <tableColumn id="9" name="AGO" dataDxfId="701"/>
    <tableColumn id="10" name="SET" dataDxfId="700"/>
    <tableColumn id="11" name="OUT" dataDxfId="699"/>
    <tableColumn id="12" name="NOV" dataDxfId="698"/>
    <tableColumn id="13" name="DEZ" dataDxfId="697"/>
    <tableColumn id="14" name="2015" dataDxfId="696">
      <calculatedColumnFormula>SUM(LeitoDia[[#This Row],[JAN]:[DEZ]])</calculatedColumnFormula>
    </tableColumn>
  </tableColumns>
  <tableStyleInfo name="TableStyleMedium14" showFirstColumn="0" showLastColumn="0" showRowStripes="1" showColumnStripes="0"/>
</table>
</file>

<file path=xl/tables/table30.xml><?xml version="1.0" encoding="utf-8"?>
<table xmlns="http://schemas.openxmlformats.org/spreadsheetml/2006/main" id="36" name="DS_M" displayName="DS_M" ref="A41:M50" totalsRowCount="1" headerRowDxfId="129" dataDxfId="128" totalsRowDxfId="126" tableBorderDxfId="127">
  <autoFilter ref="A41:M49"/>
  <tableColumns count="13">
    <tableColumn id="1" name="DIA DA SEMANA DO ACIDENTE" totalsRowDxfId="125"/>
    <tableColumn id="2" name="Jan" totalsRowFunction="sum" totalsRowDxfId="124"/>
    <tableColumn id="3" name="Fev" totalsRowFunction="sum" totalsRowDxfId="123"/>
    <tableColumn id="4" name="Mar" totalsRowFunction="sum" totalsRowDxfId="122"/>
    <tableColumn id="5" name="Abr" totalsRowFunction="sum" totalsRowDxfId="121"/>
    <tableColumn id="6" name="Mai" totalsRowFunction="sum" totalsRowDxfId="120"/>
    <tableColumn id="7" name="Jun" totalsRowFunction="sum" totalsRowDxfId="119"/>
    <tableColumn id="8" name="Jul" totalsRowFunction="sum" totalsRowDxfId="118"/>
    <tableColumn id="9" name="Ago" totalsRowFunction="sum" totalsRowDxfId="117"/>
    <tableColumn id="10" name="Set" totalsRowFunction="sum" totalsRowDxfId="116"/>
    <tableColumn id="11" name="Out" totalsRowFunction="sum" totalsRowDxfId="115"/>
    <tableColumn id="12" name="Nov" totalsRowFunction="sum" totalsRowDxfId="114"/>
    <tableColumn id="13" name="Dez" totalsRowFunction="sum" totalsRowDxfId="113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7" name="ART_M" displayName="ART_M" ref="A53:M59" totalsRowCount="1" headerRowDxfId="112" dataDxfId="111" totalsRowDxfId="109" tableBorderDxfId="110">
  <autoFilter ref="A53:M58"/>
  <tableColumns count="13">
    <tableColumn id="1" name="ACIDENTE RELACIONADO AO TRABALHO" totalsRowDxfId="108"/>
    <tableColumn id="2" name="Jan" totalsRowFunction="sum" totalsRowDxfId="107"/>
    <tableColumn id="3" name="Fev" totalsRowFunction="sum" totalsRowDxfId="106"/>
    <tableColumn id="4" name="Mar" totalsRowFunction="sum" totalsRowDxfId="105"/>
    <tableColumn id="5" name="Abr" totalsRowFunction="sum" totalsRowDxfId="104"/>
    <tableColumn id="6" name="Mai" totalsRowFunction="sum" totalsRowDxfId="103"/>
    <tableColumn id="7" name="Jun" totalsRowFunction="sum" totalsRowDxfId="102"/>
    <tableColumn id="8" name="Jul" totalsRowFunction="sum" totalsRowDxfId="101"/>
    <tableColumn id="9" name="Ago" totalsRowFunction="sum" totalsRowDxfId="100"/>
    <tableColumn id="10" name="Set" totalsRowFunction="sum" totalsRowDxfId="99"/>
    <tableColumn id="11" name="Out" totalsRowFunction="sum" totalsRowDxfId="98"/>
    <tableColumn id="12" name="Nov" totalsRowFunction="sum" totalsRowDxfId="97"/>
    <tableColumn id="13" name="Dez" totalsRowFunction="sum" totalsRowDxfId="96"/>
  </tableColumns>
  <tableStyleInfo name="TableStyleMedium14" showFirstColumn="0" showLastColumn="0" showRowStripes="1" showColumnStripes="0"/>
</table>
</file>

<file path=xl/tables/table32.xml><?xml version="1.0" encoding="utf-8"?>
<table xmlns="http://schemas.openxmlformats.org/spreadsheetml/2006/main" id="38" name="OPA_M" displayName="OPA_M" ref="A62:M75" totalsRowCount="1" headerRowDxfId="95" dataDxfId="94" totalsRowDxfId="92" tableBorderDxfId="93">
  <autoFilter ref="A62:M74"/>
  <tableColumns count="13">
    <tableColumn id="1" name="OUTRA PARTE ENVOLVIDA NO ACIDENTE" totalsRowDxfId="91"/>
    <tableColumn id="2" name="Jan" totalsRowFunction="sum" totalsRowDxfId="90"/>
    <tableColumn id="3" name="Fev" totalsRowFunction="sum" totalsRowDxfId="89"/>
    <tableColumn id="4" name="Mar" totalsRowFunction="sum" totalsRowDxfId="88"/>
    <tableColumn id="5" name="Abr" totalsRowFunction="sum" totalsRowDxfId="87"/>
    <tableColumn id="6" name="Mai" totalsRowFunction="sum" totalsRowDxfId="86"/>
    <tableColumn id="7" name="Jun" totalsRowFunction="sum" totalsRowDxfId="85"/>
    <tableColumn id="8" name="Jul" totalsRowFunction="sum" totalsRowDxfId="84"/>
    <tableColumn id="9" name="Ago" totalsRowFunction="sum" totalsRowDxfId="83"/>
    <tableColumn id="10" name="Set" totalsRowFunction="sum" totalsRowDxfId="82"/>
    <tableColumn id="11" name="Out" totalsRowFunction="sum" totalsRowDxfId="81"/>
    <tableColumn id="12" name="Nov" totalsRowFunction="sum" totalsRowDxfId="80"/>
    <tableColumn id="13" name="Dez" totalsRowFunction="sum" totalsRowDxfId="79"/>
  </tableColumns>
  <tableStyleInfo name="TableStyleMedium14" showFirstColumn="0" showLastColumn="0" showRowStripes="1" showColumnStripes="0"/>
</table>
</file>

<file path=xl/tables/table33.xml><?xml version="1.0" encoding="utf-8"?>
<table xmlns="http://schemas.openxmlformats.org/spreadsheetml/2006/main" id="39" name="EVO_M" displayName="EVO_M" ref="A78:M87" totalsRowCount="1" headerRowDxfId="78" dataDxfId="77" totalsRowDxfId="75" tableBorderDxfId="76">
  <autoFilter ref="A78:M86"/>
  <tableColumns count="13">
    <tableColumn id="1" name="EVOLUÇÃO EM ATÉ 48 HORAS DO ATENDIMENTO" totalsRowDxfId="74"/>
    <tableColumn id="2" name="Jan" totalsRowFunction="sum" totalsRowDxfId="73"/>
    <tableColumn id="3" name="Fev" totalsRowFunction="sum" totalsRowDxfId="72"/>
    <tableColumn id="4" name="Mar" totalsRowFunction="sum" totalsRowDxfId="71"/>
    <tableColumn id="5" name="Abr" totalsRowFunction="sum" totalsRowDxfId="70"/>
    <tableColumn id="6" name="Mai" totalsRowFunction="sum" totalsRowDxfId="69"/>
    <tableColumn id="7" name="Jun" totalsRowFunction="sum" totalsRowDxfId="68"/>
    <tableColumn id="8" name="Jul" totalsRowFunction="sum" totalsRowDxfId="67"/>
    <tableColumn id="9" name="Ago" totalsRowFunction="sum" totalsRowDxfId="66"/>
    <tableColumn id="10" name="Set" totalsRowFunction="sum" totalsRowDxfId="65"/>
    <tableColumn id="11" name="Out" totalsRowFunction="sum" totalsRowDxfId="64"/>
    <tableColumn id="12" name="Nov" totalsRowFunction="sum" totalsRowDxfId="63"/>
    <tableColumn id="13" name="Dez" totalsRowFunction="sum" totalsRowDxfId="62"/>
  </tableColumns>
  <tableStyleInfo name="TableStyleMedium14" showFirstColumn="0" showLastColumn="0" showRowStripes="1" showColumnStripes="0"/>
</table>
</file>

<file path=xl/tables/table34.xml><?xml version="1.0" encoding="utf-8"?>
<table xmlns="http://schemas.openxmlformats.org/spreadsheetml/2006/main" id="40" name="CIR_ESPEC" displayName="CIR_ESPEC" ref="A3:O12" totalsRowCount="1" headerRowDxfId="61" dataDxfId="60">
  <autoFilter ref="A3:O11"/>
  <tableColumns count="15">
    <tableColumn id="1" name="Especialidades" dataDxfId="59" totalsRowDxfId="58"/>
    <tableColumn id="2" name="JAN" totalsRowFunction="custom" dataDxfId="57" totalsRowDxfId="56">
      <totalsRowFormula>SUM(CIR_ESPEC[JAN])</totalsRowFormula>
    </tableColumn>
    <tableColumn id="3" name="FEV" totalsRowFunction="custom" dataDxfId="55" totalsRowDxfId="54">
      <totalsRowFormula>SUM(CIR_ESPEC[FEV])</totalsRowFormula>
    </tableColumn>
    <tableColumn id="4" name="MAR" totalsRowFunction="custom" dataDxfId="53" totalsRowDxfId="52">
      <totalsRowFormula>SUM(CIR_ESPEC[MAR])</totalsRowFormula>
    </tableColumn>
    <tableColumn id="5" name="ABR" totalsRowFunction="custom" dataDxfId="51" totalsRowDxfId="50">
      <totalsRowFormula>SUM(CIR_ESPEC[ABR])</totalsRowFormula>
    </tableColumn>
    <tableColumn id="6" name="MAI" totalsRowFunction="custom" dataDxfId="49" totalsRowDxfId="48">
      <totalsRowFormula>SUM(CIR_ESPEC[MAI])</totalsRowFormula>
    </tableColumn>
    <tableColumn id="7" name="JUN" totalsRowFunction="custom" dataDxfId="47" totalsRowDxfId="46">
      <totalsRowFormula>SUM(CIR_ESPEC[JUN])</totalsRowFormula>
    </tableColumn>
    <tableColumn id="8" name="JUL" totalsRowFunction="custom" dataDxfId="45" totalsRowDxfId="44">
      <totalsRowFormula>SUM(CIR_ESPEC[JUL])</totalsRowFormula>
    </tableColumn>
    <tableColumn id="9" name="AGO" totalsRowFunction="custom" dataDxfId="43" totalsRowDxfId="42">
      <totalsRowFormula>SUM(CIR_ESPEC[AGO])</totalsRowFormula>
    </tableColumn>
    <tableColumn id="10" name="SET" totalsRowFunction="custom" dataDxfId="41" totalsRowDxfId="40">
      <totalsRowFormula>SUM(CIR_ESPEC[SET])</totalsRowFormula>
    </tableColumn>
    <tableColumn id="11" name="OUT" totalsRowFunction="custom" dataDxfId="39" totalsRowDxfId="38">
      <totalsRowFormula>SUM(CIR_ESPEC[OUT])</totalsRowFormula>
    </tableColumn>
    <tableColumn id="12" name="NOV" totalsRowFunction="custom" dataDxfId="37" totalsRowDxfId="36">
      <totalsRowFormula>SUM(CIR_ESPEC[NOV])</totalsRowFormula>
    </tableColumn>
    <tableColumn id="13" name="DEZ" totalsRowFunction="custom" dataDxfId="35" totalsRowDxfId="34">
      <totalsRowFormula>SUM(CIR_ESPEC[DEZ])</totalsRowFormula>
    </tableColumn>
    <tableColumn id="14" name="2015" totalsRowFunction="custom" dataDxfId="33" totalsRowDxfId="32">
      <calculatedColumnFormula>SUM(CIR_ESPEC[[#This Row],[JAN]:[DEZ]])</calculatedColumnFormula>
      <totalsRowFormula>SUM(CIR_ESPEC[2015])</totalsRowFormula>
    </tableColumn>
    <tableColumn id="15" name="2015 (%)" totalsRowFunction="custom" dataDxfId="31" totalsRowDxfId="30" dataCellStyle="Porcentagem">
      <calculatedColumnFormula>CIR_ESPEC[[#This Row],[2015]]/CIR_ESPEC[[#Totals],[2015]]</calculatedColumnFormula>
      <totalsRowFormula>SUM(CIR_ESPEC[2015 (%)])</totalsRowFormula>
    </tableColumn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2" name="EXAMES" displayName="EXAMES" ref="A3:N11" totalsRowCount="1" headerRowDxfId="29" dataDxfId="28">
  <autoFilter ref="A3:N10"/>
  <tableColumns count="14">
    <tableColumn id="1" name="Exames" dataDxfId="27" totalsRowDxfId="26"/>
    <tableColumn id="2" name="JAN" totalsRowFunction="sum" dataDxfId="25" totalsRowDxfId="24"/>
    <tableColumn id="3" name="FEV" totalsRowFunction="sum" dataDxfId="23" totalsRowDxfId="22"/>
    <tableColumn id="4" name="MAR" totalsRowFunction="sum" dataDxfId="21" totalsRowDxfId="20"/>
    <tableColumn id="5" name="ABR" totalsRowFunction="sum" dataDxfId="19" totalsRowDxfId="18"/>
    <tableColumn id="6" name="MAI" totalsRowFunction="sum" dataDxfId="17" totalsRowDxfId="16"/>
    <tableColumn id="7" name="JUN" totalsRowFunction="sum" dataDxfId="15" totalsRowDxfId="14"/>
    <tableColumn id="8" name="JUL" totalsRowFunction="sum" dataDxfId="13" totalsRowDxfId="12"/>
    <tableColumn id="9" name="AGO" totalsRowFunction="sum" dataDxfId="11" totalsRowDxfId="10"/>
    <tableColumn id="10" name="SET" totalsRowFunction="sum" dataDxfId="9" totalsRowDxfId="8"/>
    <tableColumn id="11" name="OUT" totalsRowFunction="sum" dataDxfId="7" totalsRowDxfId="6"/>
    <tableColumn id="12" name="NOV" totalsRowFunction="sum" dataDxfId="5" totalsRowDxfId="4"/>
    <tableColumn id="13" name="DEZ" totalsRowFunction="sum" dataDxfId="3" totalsRowDxfId="2"/>
    <tableColumn id="14" name="2015" totalsRowFunction="sum" dataDxfId="1" totalsRowDxfId="0">
      <calculatedColumnFormula>SUM(EXAMES[[#This Row],[JAN]:[DEZ]])</calculatedColumnFormula>
    </tableColumn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9" name="LeitoDia39" displayName="LeitoDia39" ref="A58:N67" totalsRowShown="0" headerRowDxfId="695" dataDxfId="694">
  <autoFilter ref="A58:N67"/>
  <tableColumns count="14">
    <tableColumn id="1" name="UNIDADE" dataDxfId="693"/>
    <tableColumn id="2" name="JAN" dataDxfId="692"/>
    <tableColumn id="3" name="FEV" dataDxfId="691"/>
    <tableColumn id="4" name="MAR" dataDxfId="690"/>
    <tableColumn id="5" name="ABR" dataDxfId="689"/>
    <tableColumn id="6" name="MAI" dataDxfId="688"/>
    <tableColumn id="7" name="JUN" dataDxfId="687"/>
    <tableColumn id="8" name="JUL" dataDxfId="686"/>
    <tableColumn id="9" name="AGO" dataDxfId="685"/>
    <tableColumn id="10" name="SET" dataDxfId="684"/>
    <tableColumn id="11" name="OUT" dataDxfId="683"/>
    <tableColumn id="12" name="NOV" dataDxfId="682"/>
    <tableColumn id="13" name="DEZ" dataDxfId="681"/>
    <tableColumn id="14" name="2015" dataDxfId="680">
      <calculatedColumnFormula>SUM(LeitoDia39[[#This Row],[JAN]:[DEZ]])</calculatedColumnFormula>
    </tableColumn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id="10" name="MPacDia" displayName="MPacDia" ref="A70:N79" totalsRowShown="0" headerRowDxfId="679" dataDxfId="678">
  <autoFilter ref="A70:N79"/>
  <tableColumns count="14">
    <tableColumn id="1" name="UNIDADE" dataDxfId="677"/>
    <tableColumn id="2" name="JAN" dataDxfId="676">
      <calculatedColumnFormula>IF(B$1=0,0,B4/B$1)</calculatedColumnFormula>
    </tableColumn>
    <tableColumn id="3" name="FEV" dataDxfId="675">
      <calculatedColumnFormula>IF(C$1=0,0,C4/C$1)</calculatedColumnFormula>
    </tableColumn>
    <tableColumn id="4" name="MAR" dataDxfId="674">
      <calculatedColumnFormula>IF(D$1=0,0,D4/D$1)</calculatedColumnFormula>
    </tableColumn>
    <tableColumn id="5" name="ABR" dataDxfId="673">
      <calculatedColumnFormula>IF(E$1=0,0,E4/E$1)</calculatedColumnFormula>
    </tableColumn>
    <tableColumn id="6" name="MAI" dataDxfId="672">
      <calculatedColumnFormula>IF(F$1=0,0,F4/F$1)</calculatedColumnFormula>
    </tableColumn>
    <tableColumn id="7" name="JUN" dataDxfId="671">
      <calculatedColumnFormula>IF(G$1=0,0,G4/G$1)</calculatedColumnFormula>
    </tableColumn>
    <tableColumn id="8" name="JUL" dataDxfId="670">
      <calculatedColumnFormula>IF(H$1=0,0,H4/H$1)</calculatedColumnFormula>
    </tableColumn>
    <tableColumn id="9" name="AGO" dataDxfId="669">
      <calculatedColumnFormula>IF(I$1=0,0,I4/I$1)</calculatedColumnFormula>
    </tableColumn>
    <tableColumn id="10" name="SET" dataDxfId="668">
      <calculatedColumnFormula>IF(J$1=0,0,J4/J$1)</calculatedColumnFormula>
    </tableColumn>
    <tableColumn id="11" name="OUT" dataDxfId="667">
      <calculatedColumnFormula>IF(K$1=0,0,K4/K$1)</calculatedColumnFormula>
    </tableColumn>
    <tableColumn id="12" name="NOV" dataDxfId="666">
      <calculatedColumnFormula>IF(L$1=0,0,L4/L$1)</calculatedColumnFormula>
    </tableColumn>
    <tableColumn id="13" name="DEZ" dataDxfId="665">
      <calculatedColumnFormula>IF(M$1=0,0,M4/M$1)</calculatedColumnFormula>
    </tableColumn>
    <tableColumn id="14" name="2015" dataDxfId="664">
      <calculatedColumnFormula>IF(N$1=0,0,N4/N$1)</calculatedColumnFormula>
    </tableColumn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11" name="MPerm" displayName="MPerm" ref="A81:N90" totalsRowShown="0" headerRowDxfId="663" dataDxfId="662">
  <autoFilter ref="A81:N90"/>
  <tableColumns count="14">
    <tableColumn id="1" name="UNIDADE" dataDxfId="661"/>
    <tableColumn id="2" name="JAN" dataDxfId="660">
      <calculatedColumnFormula>IF(B15 = 0,0,B4/B15)</calculatedColumnFormula>
    </tableColumn>
    <tableColumn id="3" name="FEV" dataDxfId="659">
      <calculatedColumnFormula>IF(C15 = 0,0,C4/C15)</calculatedColumnFormula>
    </tableColumn>
    <tableColumn id="4" name="MAR" dataDxfId="658">
      <calculatedColumnFormula>IF(D15 = 0,0,D4/D15)</calculatedColumnFormula>
    </tableColumn>
    <tableColumn id="5" name="ABR" dataDxfId="657">
      <calculatedColumnFormula>IF(E15 = 0,0,E4/E15)</calculatedColumnFormula>
    </tableColumn>
    <tableColumn id="6" name="MAI" dataDxfId="656">
      <calculatedColumnFormula>IF(F15 = 0,0,F4/F15)</calculatedColumnFormula>
    </tableColumn>
    <tableColumn id="7" name="JUN" dataDxfId="655">
      <calculatedColumnFormula>IF(G15 = 0,0,G4/G15)</calculatedColumnFormula>
    </tableColumn>
    <tableColumn id="8" name="JUL" dataDxfId="654">
      <calculatedColumnFormula>IF(H15 = 0,0,H4/H15)</calculatedColumnFormula>
    </tableColumn>
    <tableColumn id="9" name="AGO" dataDxfId="653">
      <calculatedColumnFormula>IF(I15 = 0,0,I4/I15)</calculatedColumnFormula>
    </tableColumn>
    <tableColumn id="10" name="SET" dataDxfId="652">
      <calculatedColumnFormula>IF(J15 = 0,0,J4/J15)</calculatedColumnFormula>
    </tableColumn>
    <tableColumn id="11" name="OUT" dataDxfId="651">
      <calculatedColumnFormula>IF(K15 = 0,0,K4/K15)</calculatedColumnFormula>
    </tableColumn>
    <tableColumn id="12" name="NOV" dataDxfId="650">
      <calculatedColumnFormula>IF(L15 = 0,0,L4/L15)</calculatedColumnFormula>
    </tableColumn>
    <tableColumn id="13" name="DEZ" dataDxfId="649">
      <calculatedColumnFormula>IF(M15 = 0,0,M4/M15)</calculatedColumnFormula>
    </tableColumn>
    <tableColumn id="14" name="2015" dataDxfId="648">
      <calculatedColumnFormula>IF(N15 = 0,0,N4/N15)</calculatedColumnFormula>
    </tableColumn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id="12" name="TxOcH" displayName="TxOcH" ref="A92:N101" totalsRowShown="0" headerRowDxfId="647" dataDxfId="646">
  <autoFilter ref="A92:N101"/>
  <tableColumns count="14">
    <tableColumn id="1" name="UNIDADE" dataDxfId="645"/>
    <tableColumn id="2" name="JAN" dataDxfId="644">
      <calculatedColumnFormula>IF(B59 = 0,0,B4/B59)</calculatedColumnFormula>
    </tableColumn>
    <tableColumn id="3" name="FEV" dataDxfId="643" dataCellStyle="Porcentagem">
      <calculatedColumnFormula>IF(C59 = 0,0,C4/C59)</calculatedColumnFormula>
    </tableColumn>
    <tableColumn id="4" name="MAR" dataDxfId="642" dataCellStyle="Porcentagem">
      <calculatedColumnFormula>IF(D59 = 0,0,D4/D59)</calculatedColumnFormula>
    </tableColumn>
    <tableColumn id="5" name="ABR" dataDxfId="641" dataCellStyle="Porcentagem">
      <calculatedColumnFormula>IF(E59 = 0,0,E4/E59)</calculatedColumnFormula>
    </tableColumn>
    <tableColumn id="6" name="MAI" dataDxfId="640" dataCellStyle="Porcentagem">
      <calculatedColumnFormula>IF(F59 = 0,0,F4/F59)</calculatedColumnFormula>
    </tableColumn>
    <tableColumn id="7" name="JUN" dataDxfId="639" dataCellStyle="Porcentagem">
      <calculatedColumnFormula>IF(G59 = 0,0,G4/G59)</calculatedColumnFormula>
    </tableColumn>
    <tableColumn id="8" name="JUL" dataDxfId="638" dataCellStyle="Porcentagem">
      <calculatedColumnFormula>IF(H59 = 0,0,H4/H59)</calculatedColumnFormula>
    </tableColumn>
    <tableColumn id="9" name="AGO" dataDxfId="637" dataCellStyle="Porcentagem">
      <calculatedColumnFormula>IF(I59 = 0,0,I4/I59)</calculatedColumnFormula>
    </tableColumn>
    <tableColumn id="10" name="SET" dataDxfId="636" dataCellStyle="Porcentagem">
      <calculatedColumnFormula>IF(J59 = 0,0,J4/J59)</calculatedColumnFormula>
    </tableColumn>
    <tableColumn id="11" name="OUT" dataDxfId="635" dataCellStyle="Porcentagem">
      <calculatedColumnFormula>IF(K59 = 0,0,K4/K59)</calculatedColumnFormula>
    </tableColumn>
    <tableColumn id="12" name="NOV" dataDxfId="634" dataCellStyle="Porcentagem">
      <calculatedColumnFormula>IF(L59 = 0,0,L4/L59)</calculatedColumnFormula>
    </tableColumn>
    <tableColumn id="13" name="DEZ" dataDxfId="633" dataCellStyle="Porcentagem">
      <calculatedColumnFormula>IF(M59 = 0,0,M4/M59)</calculatedColumnFormula>
    </tableColumn>
    <tableColumn id="14" name="2015" dataDxfId="632" dataCellStyle="Porcentagem">
      <calculatedColumnFormula>IF(N59 = 0,0,N4/N59)</calculatedColumnFormula>
    </tableColumn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id="13" name="TxOcO" displayName="TxOcO" ref="A103:N112" totalsRowShown="0" headerRowDxfId="631" dataDxfId="630">
  <autoFilter ref="A103:N112"/>
  <tableColumns count="14">
    <tableColumn id="1" name="UNIDADE" dataDxfId="629"/>
    <tableColumn id="2" name="JAN" dataDxfId="628">
      <calculatedColumnFormula>IF(B48=0,0,B4/B48)</calculatedColumnFormula>
    </tableColumn>
    <tableColumn id="3" name="FEV" dataDxfId="627" dataCellStyle="Porcentagem">
      <calculatedColumnFormula>IF(C48=0,0,C4/C48)</calculatedColumnFormula>
    </tableColumn>
    <tableColumn id="4" name="MAR" dataDxfId="626" dataCellStyle="Porcentagem">
      <calculatedColumnFormula>IF(D48=0,0,D4/D48)</calculatedColumnFormula>
    </tableColumn>
    <tableColumn id="5" name="ABR" dataDxfId="625" dataCellStyle="Porcentagem">
      <calculatedColumnFormula>IF(E48=0,0,E4/E48)</calculatedColumnFormula>
    </tableColumn>
    <tableColumn id="6" name="MAI" dataDxfId="624" dataCellStyle="Porcentagem">
      <calculatedColumnFormula>IF(F48=0,0,F4/F48)</calculatedColumnFormula>
    </tableColumn>
    <tableColumn id="7" name="JUN" dataDxfId="623" dataCellStyle="Porcentagem">
      <calculatedColumnFormula>IF(G48=0,0,G4/G48)</calculatedColumnFormula>
    </tableColumn>
    <tableColumn id="8" name="JUL" dataDxfId="622" dataCellStyle="Porcentagem">
      <calculatedColumnFormula>IF(H48=0,0,H4/H48)</calculatedColumnFormula>
    </tableColumn>
    <tableColumn id="9" name="AGO" dataDxfId="621" dataCellStyle="Porcentagem">
      <calculatedColumnFormula>IF(I48=0,0,I4/I48)</calculatedColumnFormula>
    </tableColumn>
    <tableColumn id="10" name="SET" dataDxfId="620" dataCellStyle="Porcentagem">
      <calculatedColumnFormula>IF(J48=0,0,J4/J48)</calculatedColumnFormula>
    </tableColumn>
    <tableColumn id="11" name="OUT" dataDxfId="619" dataCellStyle="Porcentagem">
      <calculatedColumnFormula>IF(K48=0,0,K4/K48)</calculatedColumnFormula>
    </tableColumn>
    <tableColumn id="12" name="NOV" dataDxfId="618" dataCellStyle="Porcentagem">
      <calculatedColumnFormula>IF(L48=0,0,L4/L48)</calculatedColumnFormula>
    </tableColumn>
    <tableColumn id="13" name="DEZ" dataDxfId="617" dataCellStyle="Porcentagem">
      <calculatedColumnFormula>IF(M48=0,0,M4/M48)</calculatedColumnFormula>
    </tableColumn>
    <tableColumn id="14" name="2015" dataDxfId="616" dataCellStyle="Porcentagem">
      <calculatedColumnFormula>IF(N48=0,0,N4/N48)</calculatedColumnFormula>
    </tableColumn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id="41" name="IR" displayName="IR" ref="A114:N123" totalsRowShown="0" headerRowDxfId="615" dataDxfId="614">
  <autoFilter ref="A114:N123"/>
  <tableColumns count="14">
    <tableColumn id="1" name="UNIDADE" dataDxfId="613"/>
    <tableColumn id="2" name="JAN" dataDxfId="612">
      <calculatedColumnFormula>IF(B48=0,0,B15*B$1/B48)</calculatedColumnFormula>
    </tableColumn>
    <tableColumn id="3" name="FEV" dataDxfId="611" dataCellStyle="Porcentagem">
      <calculatedColumnFormula>IF(C48=0,0,C15*C$1/C48)</calculatedColumnFormula>
    </tableColumn>
    <tableColumn id="4" name="MAR" dataDxfId="610" dataCellStyle="Porcentagem">
      <calculatedColumnFormula>IF(D48=0,0,D15*D$1/D48)</calculatedColumnFormula>
    </tableColumn>
    <tableColumn id="5" name="ABR" dataDxfId="609" dataCellStyle="Porcentagem">
      <calculatedColumnFormula>IF(E48=0,0,E15*E$1/E48)</calculatedColumnFormula>
    </tableColumn>
    <tableColumn id="6" name="MAI" dataDxfId="608" dataCellStyle="Porcentagem">
      <calculatedColumnFormula>IF(F48=0,0,F15*F$1/F48)</calculatedColumnFormula>
    </tableColumn>
    <tableColumn id="7" name="JUN" dataDxfId="607" dataCellStyle="Porcentagem">
      <calculatedColumnFormula>IF(G48=0,0,G15*G$1/G48)</calculatedColumnFormula>
    </tableColumn>
    <tableColumn id="8" name="JUL" dataDxfId="606" dataCellStyle="Porcentagem">
      <calculatedColumnFormula>IF(H48=0,0,H15*H$1/H48)</calculatedColumnFormula>
    </tableColumn>
    <tableColumn id="9" name="AGO" dataDxfId="605" dataCellStyle="Porcentagem">
      <calculatedColumnFormula>IF(I48=0,0,I15*I$1/I48)</calculatedColumnFormula>
    </tableColumn>
    <tableColumn id="10" name="SET" dataDxfId="604" dataCellStyle="Porcentagem">
      <calculatedColumnFormula>IF(J48=0,0,J15*J$1/J48)</calculatedColumnFormula>
    </tableColumn>
    <tableColumn id="11" name="OUT" dataDxfId="603" dataCellStyle="Porcentagem">
      <calculatedColumnFormula>IF(K48=0,0,K15*K$1/K48)</calculatedColumnFormula>
    </tableColumn>
    <tableColumn id="12" name="NOV" dataDxfId="602" dataCellStyle="Porcentagem">
      <calculatedColumnFormula>IF(L48=0,0,L15*L$1/L48)</calculatedColumnFormula>
    </tableColumn>
    <tableColumn id="13" name="DEZ" dataDxfId="601" dataCellStyle="Porcentagem">
      <calculatedColumnFormula>IF(M48=0,0,M15*M$1/M48)</calculatedColumnFormula>
    </tableColumn>
    <tableColumn id="14" name="2015" dataDxfId="600" dataCellStyle="Porcentagem">
      <calculatedColumnFormula>IF(N48=0,0,N15*N$1/N48)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1.xml"/><Relationship Id="rId3" Type="http://schemas.openxmlformats.org/officeDocument/2006/relationships/table" Target="../tables/table16.xml"/><Relationship Id="rId7" Type="http://schemas.openxmlformats.org/officeDocument/2006/relationships/table" Target="../tables/table20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9.xml"/><Relationship Id="rId11" Type="http://schemas.openxmlformats.org/officeDocument/2006/relationships/table" Target="../tables/table24.xml"/><Relationship Id="rId5" Type="http://schemas.openxmlformats.org/officeDocument/2006/relationships/table" Target="../tables/table18.xml"/><Relationship Id="rId10" Type="http://schemas.openxmlformats.org/officeDocument/2006/relationships/table" Target="../tables/table23.xml"/><Relationship Id="rId4" Type="http://schemas.openxmlformats.org/officeDocument/2006/relationships/table" Target="../tables/table17.xml"/><Relationship Id="rId9" Type="http://schemas.openxmlformats.org/officeDocument/2006/relationships/table" Target="../tables/table2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10" Type="http://schemas.openxmlformats.org/officeDocument/2006/relationships/table" Target="../tables/table33.xml"/><Relationship Id="rId4" Type="http://schemas.openxmlformats.org/officeDocument/2006/relationships/table" Target="../tables/table27.xml"/><Relationship Id="rId9" Type="http://schemas.openxmlformats.org/officeDocument/2006/relationships/table" Target="../tables/table3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23"/>
  <sheetViews>
    <sheetView tabSelected="1" topLeftCell="A2" workbookViewId="0">
      <selection activeCell="A2" sqref="A2:N2"/>
    </sheetView>
  </sheetViews>
  <sheetFormatPr defaultRowHeight="11.25" x14ac:dyDescent="0.2"/>
  <cols>
    <col min="1" max="1" width="12.28515625" style="1" bestFit="1" customWidth="1"/>
    <col min="2" max="13" width="9.140625" style="1"/>
    <col min="14" max="14" width="9.140625" style="2"/>
    <col min="15" max="16384" width="9.140625" style="1"/>
  </cols>
  <sheetData>
    <row r="1" spans="1:14" ht="12" hidden="1" thickBot="1" x14ac:dyDescent="0.25">
      <c r="B1" s="33">
        <v>31</v>
      </c>
      <c r="C1" s="33">
        <v>28</v>
      </c>
      <c r="D1" s="33">
        <v>31</v>
      </c>
      <c r="E1" s="33">
        <v>30</v>
      </c>
      <c r="F1" s="33">
        <v>31</v>
      </c>
      <c r="G1" s="33">
        <v>30</v>
      </c>
      <c r="H1" s="33">
        <v>31</v>
      </c>
      <c r="I1" s="33">
        <v>31</v>
      </c>
      <c r="J1" s="33">
        <v>30</v>
      </c>
      <c r="K1" s="33">
        <v>31</v>
      </c>
      <c r="L1" s="33">
        <v>30</v>
      </c>
      <c r="M1" s="33">
        <v>31</v>
      </c>
      <c r="N1" s="34">
        <f>SUM(B1:M1)</f>
        <v>365</v>
      </c>
    </row>
    <row r="2" spans="1:14" ht="20.25" thickTop="1" thickBot="1" x14ac:dyDescent="0.25">
      <c r="A2" s="44" t="s">
        <v>132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" thickTop="1" x14ac:dyDescent="0.2">
      <c r="A3" s="1" t="s">
        <v>133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2" t="s">
        <v>15</v>
      </c>
    </row>
    <row r="4" spans="1:14" x14ac:dyDescent="0.2">
      <c r="A4" s="1" t="s">
        <v>37</v>
      </c>
      <c r="B4" s="35">
        <v>4251</v>
      </c>
      <c r="C4" s="35">
        <v>3997</v>
      </c>
      <c r="D4" s="35">
        <v>4369</v>
      </c>
      <c r="E4" s="35">
        <v>4645</v>
      </c>
      <c r="F4" s="35">
        <v>4806</v>
      </c>
      <c r="G4" s="35">
        <v>4555</v>
      </c>
      <c r="H4" s="35">
        <v>4801</v>
      </c>
      <c r="I4" s="35">
        <v>4373</v>
      </c>
      <c r="J4" s="35">
        <v>4654</v>
      </c>
      <c r="K4" s="35">
        <v>5265</v>
      </c>
      <c r="L4" s="35">
        <v>5062</v>
      </c>
      <c r="M4" s="35">
        <v>4947</v>
      </c>
      <c r="N4" s="36">
        <f>SUM(PacDia[[#This Row],[JAN]:[DEZ]])</f>
        <v>55725</v>
      </c>
    </row>
    <row r="5" spans="1:14" x14ac:dyDescent="0.2">
      <c r="A5" s="1" t="s">
        <v>32</v>
      </c>
      <c r="B5" s="35">
        <v>836</v>
      </c>
      <c r="C5" s="35">
        <v>840</v>
      </c>
      <c r="D5" s="35">
        <v>932</v>
      </c>
      <c r="E5" s="35">
        <v>961</v>
      </c>
      <c r="F5" s="35">
        <v>1035</v>
      </c>
      <c r="G5" s="35">
        <v>993</v>
      </c>
      <c r="H5" s="35">
        <v>1042</v>
      </c>
      <c r="I5" s="35">
        <v>945</v>
      </c>
      <c r="J5" s="35">
        <v>978</v>
      </c>
      <c r="K5" s="35">
        <v>984</v>
      </c>
      <c r="L5" s="35">
        <v>978</v>
      </c>
      <c r="M5" s="35">
        <v>914</v>
      </c>
      <c r="N5" s="36">
        <f>SUM(PacDia[[#This Row],[JAN]:[DEZ]])</f>
        <v>11438</v>
      </c>
    </row>
    <row r="6" spans="1:14" x14ac:dyDescent="0.2">
      <c r="A6" s="1" t="s">
        <v>33</v>
      </c>
      <c r="B6" s="35">
        <v>1003</v>
      </c>
      <c r="C6" s="35">
        <v>860</v>
      </c>
      <c r="D6" s="35">
        <v>899</v>
      </c>
      <c r="E6" s="35">
        <v>891</v>
      </c>
      <c r="F6" s="35">
        <v>1019</v>
      </c>
      <c r="G6" s="35">
        <v>955</v>
      </c>
      <c r="H6" s="35">
        <v>997</v>
      </c>
      <c r="I6" s="35">
        <v>948</v>
      </c>
      <c r="J6" s="35">
        <v>953</v>
      </c>
      <c r="K6" s="35">
        <v>986</v>
      </c>
      <c r="L6" s="35">
        <v>961</v>
      </c>
      <c r="M6" s="35">
        <v>903</v>
      </c>
      <c r="N6" s="36">
        <f>SUM(PacDia[[#This Row],[JAN]:[DEZ]])</f>
        <v>11375</v>
      </c>
    </row>
    <row r="7" spans="1:14" x14ac:dyDescent="0.2">
      <c r="A7" s="1" t="s">
        <v>34</v>
      </c>
      <c r="B7" s="35">
        <v>711</v>
      </c>
      <c r="C7" s="35">
        <v>681</v>
      </c>
      <c r="D7" s="35">
        <v>694</v>
      </c>
      <c r="E7" s="35">
        <v>745</v>
      </c>
      <c r="F7" s="35">
        <v>763</v>
      </c>
      <c r="G7" s="35">
        <v>795</v>
      </c>
      <c r="H7" s="35">
        <v>894</v>
      </c>
      <c r="I7" s="35">
        <v>888</v>
      </c>
      <c r="J7" s="35">
        <v>865</v>
      </c>
      <c r="K7" s="35">
        <v>888</v>
      </c>
      <c r="L7" s="35">
        <v>869</v>
      </c>
      <c r="M7" s="35">
        <v>908</v>
      </c>
      <c r="N7" s="36">
        <f>SUM(PacDia[[#This Row],[JAN]:[DEZ]])</f>
        <v>9701</v>
      </c>
    </row>
    <row r="8" spans="1:14" x14ac:dyDescent="0.2">
      <c r="A8" s="1" t="s">
        <v>35</v>
      </c>
      <c r="B8" s="35">
        <v>439</v>
      </c>
      <c r="C8" s="35">
        <v>342</v>
      </c>
      <c r="D8" s="35">
        <v>481</v>
      </c>
      <c r="E8" s="35">
        <v>481</v>
      </c>
      <c r="F8" s="35">
        <v>496</v>
      </c>
      <c r="G8" s="35">
        <v>471</v>
      </c>
      <c r="H8" s="35">
        <v>426</v>
      </c>
      <c r="I8" s="35">
        <v>306</v>
      </c>
      <c r="J8" s="35">
        <v>293</v>
      </c>
      <c r="K8" s="35">
        <v>301</v>
      </c>
      <c r="L8" s="35">
        <v>297</v>
      </c>
      <c r="M8" s="35">
        <v>428</v>
      </c>
      <c r="N8" s="36">
        <f>SUM(PacDia[[#This Row],[JAN]:[DEZ]])</f>
        <v>4761</v>
      </c>
    </row>
    <row r="9" spans="1:14" x14ac:dyDescent="0.2">
      <c r="A9" s="1" t="s">
        <v>31</v>
      </c>
      <c r="B9" s="35">
        <v>192</v>
      </c>
      <c r="C9" s="35">
        <v>207</v>
      </c>
      <c r="D9" s="35">
        <v>230</v>
      </c>
      <c r="E9" s="35">
        <v>215</v>
      </c>
      <c r="F9" s="35">
        <v>263</v>
      </c>
      <c r="G9" s="35">
        <v>224</v>
      </c>
      <c r="H9" s="35">
        <v>196</v>
      </c>
      <c r="I9" s="35">
        <v>160</v>
      </c>
      <c r="J9" s="35">
        <v>180</v>
      </c>
      <c r="K9" s="35">
        <v>190</v>
      </c>
      <c r="L9" s="35">
        <v>183</v>
      </c>
      <c r="M9" s="35">
        <v>155</v>
      </c>
      <c r="N9" s="36">
        <f>SUM(PacDia[[#This Row],[JAN]:[DEZ]])</f>
        <v>2395</v>
      </c>
    </row>
    <row r="10" spans="1:14" x14ac:dyDescent="0.2">
      <c r="A10" s="1" t="s">
        <v>29</v>
      </c>
      <c r="B10" s="35">
        <v>746</v>
      </c>
      <c r="C10" s="35">
        <v>713</v>
      </c>
      <c r="D10" s="35">
        <v>819</v>
      </c>
      <c r="E10" s="35">
        <v>985</v>
      </c>
      <c r="F10" s="35">
        <v>796</v>
      </c>
      <c r="G10" s="35">
        <v>691</v>
      </c>
      <c r="H10" s="35">
        <v>739</v>
      </c>
      <c r="I10" s="35">
        <v>665</v>
      </c>
      <c r="J10" s="35">
        <v>862</v>
      </c>
      <c r="K10" s="35">
        <v>1185</v>
      </c>
      <c r="L10" s="35">
        <v>1181</v>
      </c>
      <c r="M10" s="35">
        <v>1115</v>
      </c>
      <c r="N10" s="36">
        <f>SUM(PacDia[[#This Row],[JAN]:[DEZ]])</f>
        <v>10497</v>
      </c>
    </row>
    <row r="11" spans="1:14" x14ac:dyDescent="0.2">
      <c r="A11" s="1" t="s">
        <v>28</v>
      </c>
      <c r="B11" s="35">
        <v>138</v>
      </c>
      <c r="C11" s="35">
        <v>106</v>
      </c>
      <c r="D11" s="35">
        <v>75</v>
      </c>
      <c r="E11" s="35">
        <v>144</v>
      </c>
      <c r="F11" s="35">
        <v>152</v>
      </c>
      <c r="G11" s="35">
        <v>144</v>
      </c>
      <c r="H11" s="35">
        <v>152</v>
      </c>
      <c r="I11" s="35">
        <v>153</v>
      </c>
      <c r="J11" s="35">
        <v>150</v>
      </c>
      <c r="K11" s="35">
        <v>152</v>
      </c>
      <c r="L11" s="35">
        <v>148</v>
      </c>
      <c r="M11" s="35">
        <v>129</v>
      </c>
      <c r="N11" s="36">
        <f>SUM(PacDia[[#This Row],[JAN]:[DEZ]])</f>
        <v>1643</v>
      </c>
    </row>
    <row r="12" spans="1:14" ht="12" thickBot="1" x14ac:dyDescent="0.25">
      <c r="A12" s="1" t="s">
        <v>30</v>
      </c>
      <c r="B12" s="35">
        <v>239</v>
      </c>
      <c r="C12" s="35">
        <v>251</v>
      </c>
      <c r="D12" s="35">
        <v>255</v>
      </c>
      <c r="E12" s="35">
        <v>306</v>
      </c>
      <c r="F12" s="35">
        <v>386</v>
      </c>
      <c r="G12" s="35">
        <v>355</v>
      </c>
      <c r="H12" s="35">
        <v>420</v>
      </c>
      <c r="I12" s="35">
        <v>375</v>
      </c>
      <c r="J12" s="35">
        <v>412</v>
      </c>
      <c r="K12" s="35">
        <v>574</v>
      </c>
      <c r="L12" s="35">
        <v>447</v>
      </c>
      <c r="M12" s="35">
        <v>487</v>
      </c>
      <c r="N12" s="36">
        <f>SUM(PacDia[[#This Row],[JAN]:[DEZ]])</f>
        <v>4507</v>
      </c>
    </row>
    <row r="13" spans="1:14" ht="20.25" thickTop="1" thickBot="1" x14ac:dyDescent="0.25">
      <c r="A13" s="44" t="s">
        <v>134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12" thickTop="1" x14ac:dyDescent="0.2">
      <c r="A14" s="1" t="s">
        <v>133</v>
      </c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1" t="s">
        <v>8</v>
      </c>
      <c r="H14" s="1" t="s">
        <v>9</v>
      </c>
      <c r="I14" s="1" t="s">
        <v>10</v>
      </c>
      <c r="J14" s="1" t="s">
        <v>11</v>
      </c>
      <c r="K14" s="1" t="s">
        <v>12</v>
      </c>
      <c r="L14" s="1" t="s">
        <v>13</v>
      </c>
      <c r="M14" s="1" t="s">
        <v>14</v>
      </c>
      <c r="N14" s="2" t="s">
        <v>15</v>
      </c>
    </row>
    <row r="15" spans="1:14" x14ac:dyDescent="0.2">
      <c r="A15" s="1" t="s">
        <v>37</v>
      </c>
      <c r="B15" s="35">
        <v>430</v>
      </c>
      <c r="C15" s="35">
        <v>440</v>
      </c>
      <c r="D15" s="35">
        <v>497</v>
      </c>
      <c r="E15" s="35">
        <v>505</v>
      </c>
      <c r="F15" s="35">
        <v>570</v>
      </c>
      <c r="G15" s="35">
        <v>590</v>
      </c>
      <c r="H15" s="35">
        <v>570</v>
      </c>
      <c r="I15" s="35">
        <v>502</v>
      </c>
      <c r="J15" s="35">
        <v>494</v>
      </c>
      <c r="K15" s="35">
        <v>530</v>
      </c>
      <c r="L15" s="35">
        <v>461</v>
      </c>
      <c r="M15" s="35">
        <v>545</v>
      </c>
      <c r="N15" s="36">
        <f>SUM(nS[[#This Row],[JAN]:[DEZ]])</f>
        <v>6134</v>
      </c>
    </row>
    <row r="16" spans="1:14" x14ac:dyDescent="0.2">
      <c r="A16" s="1" t="s">
        <v>32</v>
      </c>
      <c r="B16" s="35">
        <v>135</v>
      </c>
      <c r="C16" s="35">
        <v>114</v>
      </c>
      <c r="D16" s="35">
        <v>100</v>
      </c>
      <c r="E16" s="35">
        <v>103</v>
      </c>
      <c r="F16" s="35">
        <v>99</v>
      </c>
      <c r="G16" s="35">
        <v>100</v>
      </c>
      <c r="H16" s="35">
        <v>128</v>
      </c>
      <c r="I16" s="35">
        <v>119</v>
      </c>
      <c r="J16" s="35">
        <v>110</v>
      </c>
      <c r="K16" s="35">
        <v>136</v>
      </c>
      <c r="L16" s="35">
        <v>112</v>
      </c>
      <c r="M16" s="35">
        <v>126</v>
      </c>
      <c r="N16" s="36">
        <f>SUM(nS[[#This Row],[JAN]:[DEZ]])</f>
        <v>1382</v>
      </c>
    </row>
    <row r="17" spans="1:14" x14ac:dyDescent="0.2">
      <c r="A17" s="1" t="s">
        <v>33</v>
      </c>
      <c r="B17" s="35">
        <v>89</v>
      </c>
      <c r="C17" s="35">
        <v>109</v>
      </c>
      <c r="D17" s="35">
        <v>147</v>
      </c>
      <c r="E17" s="35">
        <v>152</v>
      </c>
      <c r="F17" s="35">
        <v>160</v>
      </c>
      <c r="G17" s="35">
        <v>185</v>
      </c>
      <c r="H17" s="35">
        <v>141</v>
      </c>
      <c r="I17" s="35">
        <v>130</v>
      </c>
      <c r="J17" s="35">
        <v>137</v>
      </c>
      <c r="K17" s="35">
        <v>147</v>
      </c>
      <c r="L17" s="35">
        <v>106</v>
      </c>
      <c r="M17" s="35">
        <v>131</v>
      </c>
      <c r="N17" s="36">
        <f>SUM(nS[[#This Row],[JAN]:[DEZ]])</f>
        <v>1634</v>
      </c>
    </row>
    <row r="18" spans="1:14" x14ac:dyDescent="0.2">
      <c r="A18" s="1" t="s">
        <v>34</v>
      </c>
      <c r="B18" s="35">
        <v>44</v>
      </c>
      <c r="C18" s="35">
        <v>41</v>
      </c>
      <c r="D18" s="35">
        <v>46</v>
      </c>
      <c r="E18" s="35">
        <v>46</v>
      </c>
      <c r="F18" s="35">
        <v>95</v>
      </c>
      <c r="G18" s="35">
        <v>94</v>
      </c>
      <c r="H18" s="35">
        <v>81</v>
      </c>
      <c r="I18" s="35">
        <v>89</v>
      </c>
      <c r="J18" s="35">
        <v>51</v>
      </c>
      <c r="K18" s="35">
        <v>47</v>
      </c>
      <c r="L18" s="35">
        <v>53</v>
      </c>
      <c r="M18" s="35">
        <v>79</v>
      </c>
      <c r="N18" s="36">
        <f>SUM(nS[[#This Row],[JAN]:[DEZ]])</f>
        <v>766</v>
      </c>
    </row>
    <row r="19" spans="1:14" x14ac:dyDescent="0.2">
      <c r="A19" s="1" t="s">
        <v>35</v>
      </c>
      <c r="B19" s="35">
        <v>70</v>
      </c>
      <c r="C19" s="35">
        <v>57</v>
      </c>
      <c r="D19" s="35">
        <v>38</v>
      </c>
      <c r="E19" s="35">
        <v>49</v>
      </c>
      <c r="F19" s="35">
        <v>66</v>
      </c>
      <c r="G19" s="35">
        <v>54</v>
      </c>
      <c r="H19" s="35">
        <v>55</v>
      </c>
      <c r="I19" s="35">
        <v>40</v>
      </c>
      <c r="J19" s="35">
        <v>34</v>
      </c>
      <c r="K19" s="35">
        <v>37</v>
      </c>
      <c r="L19" s="35">
        <v>22</v>
      </c>
      <c r="M19" s="35">
        <v>42</v>
      </c>
      <c r="N19" s="36">
        <f>SUM(nS[[#This Row],[JAN]:[DEZ]])</f>
        <v>564</v>
      </c>
    </row>
    <row r="20" spans="1:14" x14ac:dyDescent="0.2">
      <c r="A20" s="1" t="s">
        <v>31</v>
      </c>
      <c r="B20" s="35">
        <v>118</v>
      </c>
      <c r="C20" s="35">
        <v>137</v>
      </c>
      <c r="D20" s="35">
        <v>156</v>
      </c>
      <c r="E20" s="35">
        <v>172</v>
      </c>
      <c r="F20" s="35">
        <v>168</v>
      </c>
      <c r="G20" s="35">
        <v>149</v>
      </c>
      <c r="H20" s="35">
        <v>171</v>
      </c>
      <c r="I20" s="35">
        <v>127</v>
      </c>
      <c r="J20" s="35">
        <v>140</v>
      </c>
      <c r="K20" s="35">
        <v>131</v>
      </c>
      <c r="L20" s="35">
        <v>124</v>
      </c>
      <c r="M20" s="35">
        <v>121</v>
      </c>
      <c r="N20" s="36">
        <f>SUM(nS[[#This Row],[JAN]:[DEZ]])</f>
        <v>1714</v>
      </c>
    </row>
    <row r="21" spans="1:14" x14ac:dyDescent="0.2">
      <c r="A21" s="1" t="s">
        <v>29</v>
      </c>
      <c r="B21" s="35">
        <v>160</v>
      </c>
      <c r="C21" s="35">
        <v>147</v>
      </c>
      <c r="D21" s="35">
        <v>195</v>
      </c>
      <c r="E21" s="35">
        <v>204</v>
      </c>
      <c r="F21" s="35">
        <v>240</v>
      </c>
      <c r="G21" s="35">
        <v>271</v>
      </c>
      <c r="H21" s="35">
        <v>232</v>
      </c>
      <c r="I21" s="35">
        <v>234</v>
      </c>
      <c r="J21" s="35">
        <v>164</v>
      </c>
      <c r="K21" s="35">
        <v>156</v>
      </c>
      <c r="L21" s="35">
        <v>170</v>
      </c>
      <c r="M21" s="35">
        <v>236</v>
      </c>
      <c r="N21" s="36">
        <f>SUM(nS[[#This Row],[JAN]:[DEZ]])</f>
        <v>2409</v>
      </c>
    </row>
    <row r="22" spans="1:14" x14ac:dyDescent="0.2">
      <c r="A22" s="1" t="s">
        <v>28</v>
      </c>
      <c r="B22" s="35">
        <v>12</v>
      </c>
      <c r="C22" s="35">
        <v>9</v>
      </c>
      <c r="D22" s="35">
        <v>16</v>
      </c>
      <c r="E22" s="35">
        <v>31</v>
      </c>
      <c r="F22" s="35">
        <v>23</v>
      </c>
      <c r="G22" s="35">
        <v>37</v>
      </c>
      <c r="H22" s="35">
        <v>23</v>
      </c>
      <c r="I22" s="35">
        <v>20</v>
      </c>
      <c r="J22" s="35">
        <v>12</v>
      </c>
      <c r="K22" s="35">
        <v>21</v>
      </c>
      <c r="L22" s="35">
        <v>14</v>
      </c>
      <c r="M22" s="35">
        <v>18</v>
      </c>
      <c r="N22" s="36">
        <f>SUM(nS[[#This Row],[JAN]:[DEZ]])</f>
        <v>236</v>
      </c>
    </row>
    <row r="23" spans="1:14" ht="12" thickBot="1" x14ac:dyDescent="0.25">
      <c r="A23" s="1" t="s">
        <v>30</v>
      </c>
      <c r="B23" s="35">
        <v>162</v>
      </c>
      <c r="C23" s="35">
        <v>141</v>
      </c>
      <c r="D23" s="35">
        <v>147</v>
      </c>
      <c r="E23" s="35">
        <v>195</v>
      </c>
      <c r="F23" s="35">
        <v>261</v>
      </c>
      <c r="G23" s="35">
        <v>271</v>
      </c>
      <c r="H23" s="35">
        <v>242</v>
      </c>
      <c r="I23" s="35">
        <v>218</v>
      </c>
      <c r="J23" s="35">
        <v>220</v>
      </c>
      <c r="K23" s="35">
        <v>243</v>
      </c>
      <c r="L23" s="35">
        <v>205</v>
      </c>
      <c r="M23" s="35">
        <v>250</v>
      </c>
      <c r="N23" s="36">
        <f>SUM(nS[[#This Row],[JAN]:[DEZ]])</f>
        <v>2555</v>
      </c>
    </row>
    <row r="24" spans="1:14" ht="20.25" thickTop="1" thickBot="1" x14ac:dyDescent="0.25">
      <c r="A24" s="44" t="s">
        <v>135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2" thickTop="1" x14ac:dyDescent="0.2">
      <c r="A25" s="1" t="s">
        <v>133</v>
      </c>
      <c r="B25" s="1" t="s">
        <v>3</v>
      </c>
      <c r="C25" s="1" t="s">
        <v>4</v>
      </c>
      <c r="D25" s="1" t="s">
        <v>5</v>
      </c>
      <c r="E25" s="1" t="s">
        <v>6</v>
      </c>
      <c r="F25" s="1" t="s">
        <v>7</v>
      </c>
      <c r="G25" s="1" t="s">
        <v>8</v>
      </c>
      <c r="H25" s="1" t="s">
        <v>9</v>
      </c>
      <c r="I25" s="1" t="s">
        <v>10</v>
      </c>
      <c r="J25" s="1" t="s">
        <v>11</v>
      </c>
      <c r="K25" s="1" t="s">
        <v>12</v>
      </c>
      <c r="L25" s="1" t="s">
        <v>13</v>
      </c>
      <c r="M25" s="1" t="s">
        <v>14</v>
      </c>
      <c r="N25" s="2" t="s">
        <v>15</v>
      </c>
    </row>
    <row r="26" spans="1:14" x14ac:dyDescent="0.2">
      <c r="A26" s="1" t="s">
        <v>37</v>
      </c>
      <c r="B26" s="35">
        <v>430</v>
      </c>
      <c r="C26" s="35">
        <v>440</v>
      </c>
      <c r="D26" s="35">
        <v>497</v>
      </c>
      <c r="E26" s="35">
        <v>505</v>
      </c>
      <c r="F26" s="35">
        <v>570</v>
      </c>
      <c r="G26" s="35">
        <v>590</v>
      </c>
      <c r="H26" s="35">
        <v>570</v>
      </c>
      <c r="I26" s="35">
        <v>502</v>
      </c>
      <c r="J26" s="35">
        <v>494</v>
      </c>
      <c r="K26" s="35">
        <v>530</v>
      </c>
      <c r="L26" s="35">
        <v>461</v>
      </c>
      <c r="M26" s="35">
        <v>545</v>
      </c>
      <c r="N26" s="36">
        <f>SUM(nSE[[#This Row],[JAN]:[DEZ]])</f>
        <v>6134</v>
      </c>
    </row>
    <row r="27" spans="1:14" x14ac:dyDescent="0.2">
      <c r="A27" s="1" t="s">
        <v>32</v>
      </c>
      <c r="B27" s="35">
        <v>109</v>
      </c>
      <c r="C27" s="35">
        <v>96</v>
      </c>
      <c r="D27" s="35">
        <v>83</v>
      </c>
      <c r="E27" s="35">
        <v>88</v>
      </c>
      <c r="F27" s="35">
        <v>85</v>
      </c>
      <c r="G27" s="35">
        <v>85</v>
      </c>
      <c r="H27" s="35">
        <v>109</v>
      </c>
      <c r="I27" s="35">
        <v>103</v>
      </c>
      <c r="J27" s="35">
        <v>94</v>
      </c>
      <c r="K27" s="35">
        <v>107</v>
      </c>
      <c r="L27" s="35">
        <v>95</v>
      </c>
      <c r="M27" s="35">
        <v>106</v>
      </c>
      <c r="N27" s="36">
        <f>SUM(nSE[[#This Row],[JAN]:[DEZ]])</f>
        <v>1160</v>
      </c>
    </row>
    <row r="28" spans="1:14" x14ac:dyDescent="0.2">
      <c r="A28" s="1" t="s">
        <v>33</v>
      </c>
      <c r="B28" s="35">
        <v>77</v>
      </c>
      <c r="C28" s="35">
        <v>97</v>
      </c>
      <c r="D28" s="35">
        <v>126</v>
      </c>
      <c r="E28" s="35">
        <v>122</v>
      </c>
      <c r="F28" s="35">
        <v>136</v>
      </c>
      <c r="G28" s="35">
        <v>157</v>
      </c>
      <c r="H28" s="35">
        <v>122</v>
      </c>
      <c r="I28" s="35">
        <v>109</v>
      </c>
      <c r="J28" s="35">
        <v>112</v>
      </c>
      <c r="K28" s="35">
        <v>116</v>
      </c>
      <c r="L28" s="35">
        <v>72</v>
      </c>
      <c r="M28" s="35">
        <v>101</v>
      </c>
      <c r="N28" s="36">
        <f>SUM(nSE[[#This Row],[JAN]:[DEZ]])</f>
        <v>1347</v>
      </c>
    </row>
    <row r="29" spans="1:14" x14ac:dyDescent="0.2">
      <c r="A29" s="1" t="s">
        <v>34</v>
      </c>
      <c r="B29" s="35">
        <v>41</v>
      </c>
      <c r="C29" s="35">
        <v>35</v>
      </c>
      <c r="D29" s="35">
        <v>42</v>
      </c>
      <c r="E29" s="35">
        <v>44</v>
      </c>
      <c r="F29" s="35">
        <v>90</v>
      </c>
      <c r="G29" s="35">
        <v>88</v>
      </c>
      <c r="H29" s="35">
        <v>73</v>
      </c>
      <c r="I29" s="35">
        <v>82</v>
      </c>
      <c r="J29" s="35">
        <v>49</v>
      </c>
      <c r="K29" s="35">
        <v>46</v>
      </c>
      <c r="L29" s="35">
        <v>50</v>
      </c>
      <c r="M29" s="35">
        <v>58</v>
      </c>
      <c r="N29" s="36">
        <f>SUM(nSE[[#This Row],[JAN]:[DEZ]])</f>
        <v>698</v>
      </c>
    </row>
    <row r="30" spans="1:14" x14ac:dyDescent="0.2">
      <c r="A30" s="1" t="s">
        <v>35</v>
      </c>
      <c r="B30" s="35">
        <v>38</v>
      </c>
      <c r="C30" s="35">
        <v>25</v>
      </c>
      <c r="D30" s="35">
        <v>10</v>
      </c>
      <c r="E30" s="35">
        <v>27</v>
      </c>
      <c r="F30" s="35">
        <v>30</v>
      </c>
      <c r="G30" s="35">
        <v>22</v>
      </c>
      <c r="H30" s="35">
        <v>22</v>
      </c>
      <c r="I30" s="35">
        <v>15</v>
      </c>
      <c r="J30" s="35">
        <v>11</v>
      </c>
      <c r="K30" s="35">
        <v>15</v>
      </c>
      <c r="L30" s="35">
        <v>6</v>
      </c>
      <c r="M30" s="35">
        <v>13</v>
      </c>
      <c r="N30" s="36">
        <f>SUM(nSE[[#This Row],[JAN]:[DEZ]])</f>
        <v>234</v>
      </c>
    </row>
    <row r="31" spans="1:14" x14ac:dyDescent="0.2">
      <c r="A31" s="1" t="s">
        <v>31</v>
      </c>
      <c r="B31" s="35">
        <v>21</v>
      </c>
      <c r="C31" s="35">
        <v>28</v>
      </c>
      <c r="D31" s="35">
        <v>35</v>
      </c>
      <c r="E31" s="35">
        <v>32</v>
      </c>
      <c r="F31" s="35">
        <v>31</v>
      </c>
      <c r="G31" s="35">
        <v>19</v>
      </c>
      <c r="H31" s="35">
        <v>26</v>
      </c>
      <c r="I31" s="35">
        <v>20</v>
      </c>
      <c r="J31" s="35">
        <v>34</v>
      </c>
      <c r="K31" s="35">
        <v>31</v>
      </c>
      <c r="L31" s="35">
        <v>29</v>
      </c>
      <c r="M31" s="35">
        <v>24</v>
      </c>
      <c r="N31" s="36">
        <f>SUM(nSE[[#This Row],[JAN]:[DEZ]])</f>
        <v>330</v>
      </c>
    </row>
    <row r="32" spans="1:14" x14ac:dyDescent="0.2">
      <c r="A32" s="1" t="s">
        <v>29</v>
      </c>
      <c r="B32" s="35">
        <v>58</v>
      </c>
      <c r="C32" s="35">
        <v>63</v>
      </c>
      <c r="D32" s="35">
        <v>62</v>
      </c>
      <c r="E32" s="35">
        <v>78</v>
      </c>
      <c r="F32" s="35">
        <v>69</v>
      </c>
      <c r="G32" s="35">
        <v>95</v>
      </c>
      <c r="H32" s="35">
        <v>78</v>
      </c>
      <c r="I32" s="35">
        <v>71</v>
      </c>
      <c r="J32" s="35">
        <v>71</v>
      </c>
      <c r="K32" s="35">
        <v>81</v>
      </c>
      <c r="L32" s="35">
        <v>93</v>
      </c>
      <c r="M32" s="35">
        <v>111</v>
      </c>
      <c r="N32" s="36">
        <f>SUM(nSE[[#This Row],[JAN]:[DEZ]])</f>
        <v>930</v>
      </c>
    </row>
    <row r="33" spans="1:14" x14ac:dyDescent="0.2">
      <c r="A33" s="1" t="s">
        <v>28</v>
      </c>
      <c r="B33" s="35">
        <v>4</v>
      </c>
      <c r="C33" s="35">
        <v>6</v>
      </c>
      <c r="D33" s="35">
        <v>10</v>
      </c>
      <c r="E33" s="35">
        <v>16</v>
      </c>
      <c r="F33" s="35">
        <v>11</v>
      </c>
      <c r="G33" s="35">
        <v>19</v>
      </c>
      <c r="H33" s="35">
        <v>6</v>
      </c>
      <c r="I33" s="35">
        <v>5</v>
      </c>
      <c r="J33" s="35">
        <v>8</v>
      </c>
      <c r="K33" s="35">
        <v>4</v>
      </c>
      <c r="L33" s="35">
        <v>8</v>
      </c>
      <c r="M33" s="35">
        <v>7</v>
      </c>
      <c r="N33" s="36">
        <f>SUM(nSE[[#This Row],[JAN]:[DEZ]])</f>
        <v>104</v>
      </c>
    </row>
    <row r="34" spans="1:14" ht="12" thickBot="1" x14ac:dyDescent="0.25">
      <c r="A34" s="1" t="s">
        <v>30</v>
      </c>
      <c r="B34" s="35">
        <v>19</v>
      </c>
      <c r="C34" s="35">
        <v>23</v>
      </c>
      <c r="D34" s="35">
        <v>36</v>
      </c>
      <c r="E34" s="35">
        <v>23</v>
      </c>
      <c r="F34" s="35">
        <v>43</v>
      </c>
      <c r="G34" s="35">
        <v>36</v>
      </c>
      <c r="H34" s="35">
        <v>50</v>
      </c>
      <c r="I34" s="35">
        <v>43</v>
      </c>
      <c r="J34" s="35">
        <v>64</v>
      </c>
      <c r="K34" s="35">
        <v>81</v>
      </c>
      <c r="L34" s="35">
        <v>59</v>
      </c>
      <c r="M34" s="35">
        <v>84</v>
      </c>
      <c r="N34" s="36">
        <f>SUM(nSE[[#This Row],[JAN]:[DEZ]])</f>
        <v>561</v>
      </c>
    </row>
    <row r="35" spans="1:14" ht="20.25" thickTop="1" thickBot="1" x14ac:dyDescent="0.25">
      <c r="A35" s="44" t="s">
        <v>136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2" thickTop="1" x14ac:dyDescent="0.2">
      <c r="A36" s="1" t="s">
        <v>133</v>
      </c>
      <c r="B36" s="1" t="s">
        <v>3</v>
      </c>
      <c r="C36" s="1" t="s">
        <v>4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2" t="s">
        <v>15</v>
      </c>
    </row>
    <row r="37" spans="1:14" x14ac:dyDescent="0.2">
      <c r="A37" s="1" t="s">
        <v>37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6">
        <f>SUM(nSI[[#This Row],[JAN]:[DEZ]])</f>
        <v>0</v>
      </c>
    </row>
    <row r="38" spans="1:14" x14ac:dyDescent="0.2">
      <c r="A38" s="1" t="s">
        <v>32</v>
      </c>
      <c r="B38" s="35">
        <v>26</v>
      </c>
      <c r="C38" s="35">
        <v>18</v>
      </c>
      <c r="D38" s="35">
        <v>17</v>
      </c>
      <c r="E38" s="35">
        <v>15</v>
      </c>
      <c r="F38" s="35">
        <v>14</v>
      </c>
      <c r="G38" s="35">
        <v>15</v>
      </c>
      <c r="H38" s="35">
        <v>19</v>
      </c>
      <c r="I38" s="35">
        <v>16</v>
      </c>
      <c r="J38" s="35">
        <v>16</v>
      </c>
      <c r="K38" s="35">
        <v>29</v>
      </c>
      <c r="L38" s="35">
        <v>17</v>
      </c>
      <c r="M38" s="35">
        <v>20</v>
      </c>
      <c r="N38" s="36">
        <f>SUM(nSI[[#This Row],[JAN]:[DEZ]])</f>
        <v>222</v>
      </c>
    </row>
    <row r="39" spans="1:14" x14ac:dyDescent="0.2">
      <c r="A39" s="1" t="s">
        <v>33</v>
      </c>
      <c r="B39" s="35">
        <v>12</v>
      </c>
      <c r="C39" s="35">
        <v>12</v>
      </c>
      <c r="D39" s="35">
        <v>21</v>
      </c>
      <c r="E39" s="35">
        <v>30</v>
      </c>
      <c r="F39" s="35">
        <v>24</v>
      </c>
      <c r="G39" s="35">
        <v>28</v>
      </c>
      <c r="H39" s="35">
        <v>19</v>
      </c>
      <c r="I39" s="35">
        <v>21</v>
      </c>
      <c r="J39" s="35">
        <v>25</v>
      </c>
      <c r="K39" s="35">
        <v>31</v>
      </c>
      <c r="L39" s="35">
        <v>34</v>
      </c>
      <c r="M39" s="35">
        <v>30</v>
      </c>
      <c r="N39" s="36">
        <f>SUM(nSI[[#This Row],[JAN]:[DEZ]])</f>
        <v>287</v>
      </c>
    </row>
    <row r="40" spans="1:14" x14ac:dyDescent="0.2">
      <c r="A40" s="1" t="s">
        <v>34</v>
      </c>
      <c r="B40" s="35">
        <v>3</v>
      </c>
      <c r="C40" s="35">
        <v>6</v>
      </c>
      <c r="D40" s="35">
        <v>4</v>
      </c>
      <c r="E40" s="35">
        <v>2</v>
      </c>
      <c r="F40" s="35">
        <v>5</v>
      </c>
      <c r="G40" s="35">
        <v>6</v>
      </c>
      <c r="H40" s="35">
        <v>8</v>
      </c>
      <c r="I40" s="35">
        <v>7</v>
      </c>
      <c r="J40" s="35">
        <v>2</v>
      </c>
      <c r="K40" s="35">
        <v>1</v>
      </c>
      <c r="L40" s="35">
        <v>3</v>
      </c>
      <c r="M40" s="35">
        <v>21</v>
      </c>
      <c r="N40" s="36">
        <f>SUM(nSI[[#This Row],[JAN]:[DEZ]])</f>
        <v>68</v>
      </c>
    </row>
    <row r="41" spans="1:14" x14ac:dyDescent="0.2">
      <c r="A41" s="1" t="s">
        <v>35</v>
      </c>
      <c r="B41" s="35">
        <v>32</v>
      </c>
      <c r="C41" s="35">
        <v>32</v>
      </c>
      <c r="D41" s="35">
        <v>28</v>
      </c>
      <c r="E41" s="35">
        <v>22</v>
      </c>
      <c r="F41" s="35">
        <v>36</v>
      </c>
      <c r="G41" s="35">
        <v>32</v>
      </c>
      <c r="H41" s="35">
        <v>33</v>
      </c>
      <c r="I41" s="35">
        <v>25</v>
      </c>
      <c r="J41" s="35">
        <v>23</v>
      </c>
      <c r="K41" s="35">
        <v>22</v>
      </c>
      <c r="L41" s="35">
        <v>16</v>
      </c>
      <c r="M41" s="35">
        <v>29</v>
      </c>
      <c r="N41" s="36">
        <f>SUM(nSI[[#This Row],[JAN]:[DEZ]])</f>
        <v>330</v>
      </c>
    </row>
    <row r="42" spans="1:14" x14ac:dyDescent="0.2">
      <c r="A42" s="1" t="s">
        <v>31</v>
      </c>
      <c r="B42" s="35">
        <v>97</v>
      </c>
      <c r="C42" s="35">
        <v>109</v>
      </c>
      <c r="D42" s="35">
        <v>121</v>
      </c>
      <c r="E42" s="35">
        <v>140</v>
      </c>
      <c r="F42" s="35">
        <v>137</v>
      </c>
      <c r="G42" s="35">
        <v>130</v>
      </c>
      <c r="H42" s="35">
        <v>145</v>
      </c>
      <c r="I42" s="35">
        <v>107</v>
      </c>
      <c r="J42" s="35">
        <v>106</v>
      </c>
      <c r="K42" s="35">
        <v>100</v>
      </c>
      <c r="L42" s="35">
        <v>95</v>
      </c>
      <c r="M42" s="35">
        <v>97</v>
      </c>
      <c r="N42" s="36">
        <f>SUM(nSI[[#This Row],[JAN]:[DEZ]])</f>
        <v>1384</v>
      </c>
    </row>
    <row r="43" spans="1:14" x14ac:dyDescent="0.2">
      <c r="A43" s="1" t="s">
        <v>29</v>
      </c>
      <c r="B43" s="35">
        <v>102</v>
      </c>
      <c r="C43" s="35">
        <v>84</v>
      </c>
      <c r="D43" s="35">
        <v>133</v>
      </c>
      <c r="E43" s="35">
        <v>126</v>
      </c>
      <c r="F43" s="35">
        <v>171</v>
      </c>
      <c r="G43" s="35">
        <v>176</v>
      </c>
      <c r="H43" s="35">
        <v>154</v>
      </c>
      <c r="I43" s="35">
        <v>163</v>
      </c>
      <c r="J43" s="35">
        <v>93</v>
      </c>
      <c r="K43" s="35">
        <v>75</v>
      </c>
      <c r="L43" s="35">
        <v>77</v>
      </c>
      <c r="M43" s="35">
        <v>125</v>
      </c>
      <c r="N43" s="36">
        <f>SUM(nSI[[#This Row],[JAN]:[DEZ]])</f>
        <v>1479</v>
      </c>
    </row>
    <row r="44" spans="1:14" x14ac:dyDescent="0.2">
      <c r="A44" s="1" t="s">
        <v>28</v>
      </c>
      <c r="B44" s="35">
        <v>8</v>
      </c>
      <c r="C44" s="35">
        <v>3</v>
      </c>
      <c r="D44" s="35">
        <v>6</v>
      </c>
      <c r="E44" s="35">
        <v>15</v>
      </c>
      <c r="F44" s="35">
        <v>12</v>
      </c>
      <c r="G44" s="35">
        <v>18</v>
      </c>
      <c r="H44" s="35">
        <v>17</v>
      </c>
      <c r="I44" s="35">
        <v>15</v>
      </c>
      <c r="J44" s="35">
        <v>4</v>
      </c>
      <c r="K44" s="35">
        <v>17</v>
      </c>
      <c r="L44" s="35">
        <v>6</v>
      </c>
      <c r="M44" s="35">
        <v>11</v>
      </c>
      <c r="N44" s="36">
        <f>SUM(nSI[[#This Row],[JAN]:[DEZ]])</f>
        <v>132</v>
      </c>
    </row>
    <row r="45" spans="1:14" ht="12" thickBot="1" x14ac:dyDescent="0.25">
      <c r="A45" s="1" t="s">
        <v>30</v>
      </c>
      <c r="B45" s="35">
        <v>143</v>
      </c>
      <c r="C45" s="35">
        <v>118</v>
      </c>
      <c r="D45" s="35">
        <v>111</v>
      </c>
      <c r="E45" s="35">
        <v>172</v>
      </c>
      <c r="F45" s="35">
        <v>218</v>
      </c>
      <c r="G45" s="35">
        <v>235</v>
      </c>
      <c r="H45" s="35">
        <v>192</v>
      </c>
      <c r="I45" s="35">
        <v>175</v>
      </c>
      <c r="J45" s="35">
        <v>156</v>
      </c>
      <c r="K45" s="35">
        <v>162</v>
      </c>
      <c r="L45" s="35">
        <v>146</v>
      </c>
      <c r="M45" s="35">
        <v>166</v>
      </c>
      <c r="N45" s="36">
        <f>SUM(nSI[[#This Row],[JAN]:[DEZ]])</f>
        <v>1994</v>
      </c>
    </row>
    <row r="46" spans="1:14" ht="20.25" thickTop="1" thickBot="1" x14ac:dyDescent="0.25">
      <c r="A46" s="44" t="s">
        <v>137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12" thickTop="1" x14ac:dyDescent="0.2">
      <c r="A47" s="1" t="s">
        <v>133</v>
      </c>
      <c r="B47" s="1" t="s">
        <v>3</v>
      </c>
      <c r="C47" s="1" t="s">
        <v>4</v>
      </c>
      <c r="D47" s="1" t="s">
        <v>5</v>
      </c>
      <c r="E47" s="1" t="s">
        <v>6</v>
      </c>
      <c r="F47" s="1" t="s">
        <v>7</v>
      </c>
      <c r="G47" s="1" t="s">
        <v>8</v>
      </c>
      <c r="H47" s="1" t="s">
        <v>9</v>
      </c>
      <c r="I47" s="1" t="s">
        <v>10</v>
      </c>
      <c r="J47" s="1" t="s">
        <v>11</v>
      </c>
      <c r="K47" s="1" t="s">
        <v>12</v>
      </c>
      <c r="L47" s="1" t="s">
        <v>13</v>
      </c>
      <c r="M47" s="1" t="s">
        <v>14</v>
      </c>
      <c r="N47" s="2" t="s">
        <v>15</v>
      </c>
    </row>
    <row r="48" spans="1:14" x14ac:dyDescent="0.2">
      <c r="A48" s="1" t="s">
        <v>37</v>
      </c>
      <c r="B48" s="35">
        <v>4334</v>
      </c>
      <c r="C48" s="35">
        <v>4003</v>
      </c>
      <c r="D48" s="35">
        <v>4369</v>
      </c>
      <c r="E48" s="35">
        <v>4649</v>
      </c>
      <c r="F48" s="35">
        <v>4812</v>
      </c>
      <c r="G48" s="35">
        <v>4563</v>
      </c>
      <c r="H48" s="35">
        <v>4815</v>
      </c>
      <c r="I48" s="35">
        <v>4413</v>
      </c>
      <c r="J48" s="35">
        <v>4661</v>
      </c>
      <c r="K48" s="35">
        <v>5278</v>
      </c>
      <c r="L48" s="35">
        <v>5081</v>
      </c>
      <c r="M48" s="35">
        <v>4984</v>
      </c>
      <c r="N48" s="36">
        <f>SUM(LeitoDia[[#This Row],[JAN]:[DEZ]])</f>
        <v>55962</v>
      </c>
    </row>
    <row r="49" spans="1:14" x14ac:dyDescent="0.2">
      <c r="A49" s="1" t="s">
        <v>32</v>
      </c>
      <c r="B49" s="35">
        <v>1099</v>
      </c>
      <c r="C49" s="35">
        <v>978</v>
      </c>
      <c r="D49" s="35">
        <v>1029</v>
      </c>
      <c r="E49" s="35">
        <v>1055</v>
      </c>
      <c r="F49" s="35">
        <v>1116</v>
      </c>
      <c r="G49" s="35">
        <v>1082</v>
      </c>
      <c r="H49" s="35">
        <v>1135</v>
      </c>
      <c r="I49" s="35">
        <v>1111</v>
      </c>
      <c r="J49" s="35">
        <v>1095</v>
      </c>
      <c r="K49" s="35">
        <v>1139</v>
      </c>
      <c r="L49" s="35">
        <v>1103</v>
      </c>
      <c r="M49" s="35">
        <v>1144</v>
      </c>
      <c r="N49" s="36">
        <f>SUM(LeitoDia[[#This Row],[JAN]:[DEZ]])</f>
        <v>13086</v>
      </c>
    </row>
    <row r="50" spans="1:14" x14ac:dyDescent="0.2">
      <c r="A50" s="1" t="s">
        <v>33</v>
      </c>
      <c r="B50" s="35">
        <v>1131</v>
      </c>
      <c r="C50" s="35">
        <v>976</v>
      </c>
      <c r="D50" s="35">
        <v>1015</v>
      </c>
      <c r="E50" s="35">
        <v>1057</v>
      </c>
      <c r="F50" s="35">
        <v>1145</v>
      </c>
      <c r="G50" s="35">
        <v>1110</v>
      </c>
      <c r="H50" s="35">
        <v>1143</v>
      </c>
      <c r="I50" s="35">
        <v>1139</v>
      </c>
      <c r="J50" s="35">
        <v>1108</v>
      </c>
      <c r="K50" s="35">
        <v>1147</v>
      </c>
      <c r="L50" s="35">
        <v>1110</v>
      </c>
      <c r="M50" s="35">
        <v>1141</v>
      </c>
      <c r="N50" s="36">
        <f>SUM(LeitoDia[[#This Row],[JAN]:[DEZ]])</f>
        <v>13222</v>
      </c>
    </row>
    <row r="51" spans="1:14" x14ac:dyDescent="0.2">
      <c r="A51" s="1" t="s">
        <v>34</v>
      </c>
      <c r="B51" s="35">
        <v>763</v>
      </c>
      <c r="C51" s="35">
        <v>701</v>
      </c>
      <c r="D51" s="35">
        <v>739</v>
      </c>
      <c r="E51" s="35">
        <v>752</v>
      </c>
      <c r="F51" s="35">
        <v>779</v>
      </c>
      <c r="G51" s="35">
        <v>809</v>
      </c>
      <c r="H51" s="35">
        <v>900</v>
      </c>
      <c r="I51" s="35">
        <v>900</v>
      </c>
      <c r="J51" s="35">
        <v>871</v>
      </c>
      <c r="K51" s="35">
        <v>899</v>
      </c>
      <c r="L51" s="35">
        <v>872</v>
      </c>
      <c r="M51" s="35">
        <v>911</v>
      </c>
      <c r="N51" s="36">
        <f>SUM(LeitoDia[[#This Row],[JAN]:[DEZ]])</f>
        <v>9896</v>
      </c>
    </row>
    <row r="52" spans="1:14" x14ac:dyDescent="0.2">
      <c r="A52" s="1" t="s">
        <v>35</v>
      </c>
      <c r="B52" s="35">
        <v>528</v>
      </c>
      <c r="C52" s="35">
        <v>476</v>
      </c>
      <c r="D52" s="35">
        <v>527</v>
      </c>
      <c r="E52" s="35">
        <v>510</v>
      </c>
      <c r="F52" s="35">
        <v>528</v>
      </c>
      <c r="G52" s="35">
        <v>510</v>
      </c>
      <c r="H52" s="35">
        <v>484</v>
      </c>
      <c r="I52" s="35">
        <v>376</v>
      </c>
      <c r="J52" s="35">
        <v>366</v>
      </c>
      <c r="K52" s="35">
        <v>346</v>
      </c>
      <c r="L52" s="35">
        <v>330</v>
      </c>
      <c r="M52" s="35">
        <v>467</v>
      </c>
      <c r="N52" s="36">
        <f>SUM(LeitoDia[[#This Row],[JAN]:[DEZ]])</f>
        <v>5448</v>
      </c>
    </row>
    <row r="53" spans="1:14" x14ac:dyDescent="0.2">
      <c r="A53" s="1" t="s">
        <v>31</v>
      </c>
      <c r="B53" s="35">
        <v>192</v>
      </c>
      <c r="C53" s="35">
        <v>207</v>
      </c>
      <c r="D53" s="35">
        <v>230</v>
      </c>
      <c r="E53" s="35">
        <v>215</v>
      </c>
      <c r="F53" s="35">
        <v>263</v>
      </c>
      <c r="G53" s="35">
        <v>224</v>
      </c>
      <c r="H53" s="35">
        <v>196</v>
      </c>
      <c r="I53" s="35">
        <v>160</v>
      </c>
      <c r="J53" s="35">
        <v>180</v>
      </c>
      <c r="K53" s="35">
        <v>190</v>
      </c>
      <c r="L53" s="35">
        <v>184</v>
      </c>
      <c r="M53" s="35">
        <v>155</v>
      </c>
      <c r="N53" s="36">
        <f>SUM(LeitoDia[[#This Row],[JAN]:[DEZ]])</f>
        <v>2396</v>
      </c>
    </row>
    <row r="54" spans="1:14" x14ac:dyDescent="0.2">
      <c r="A54" s="1" t="s">
        <v>29</v>
      </c>
      <c r="B54" s="35">
        <v>746</v>
      </c>
      <c r="C54" s="35">
        <v>713</v>
      </c>
      <c r="D54" s="35">
        <v>819</v>
      </c>
      <c r="E54" s="35">
        <v>985</v>
      </c>
      <c r="F54" s="35">
        <v>797</v>
      </c>
      <c r="G54" s="35">
        <v>691</v>
      </c>
      <c r="H54" s="35">
        <v>739</v>
      </c>
      <c r="I54" s="35">
        <v>666</v>
      </c>
      <c r="J54" s="35">
        <v>862</v>
      </c>
      <c r="K54" s="35">
        <v>1185</v>
      </c>
      <c r="L54" s="35">
        <v>1181</v>
      </c>
      <c r="M54" s="35">
        <v>1115</v>
      </c>
      <c r="N54" s="36">
        <f>SUM(LeitoDia[[#This Row],[JAN]:[DEZ]])</f>
        <v>10499</v>
      </c>
    </row>
    <row r="55" spans="1:14" x14ac:dyDescent="0.2">
      <c r="A55" s="1" t="s">
        <v>28</v>
      </c>
      <c r="B55" s="35">
        <v>155</v>
      </c>
      <c r="C55" s="35">
        <v>140</v>
      </c>
      <c r="D55" s="35">
        <v>155</v>
      </c>
      <c r="E55" s="35">
        <v>153</v>
      </c>
      <c r="F55" s="35">
        <v>157</v>
      </c>
      <c r="G55" s="35">
        <v>156</v>
      </c>
      <c r="H55" s="35">
        <v>156</v>
      </c>
      <c r="I55" s="35">
        <v>159</v>
      </c>
      <c r="J55" s="35">
        <v>153</v>
      </c>
      <c r="K55" s="35">
        <v>156</v>
      </c>
      <c r="L55" s="35">
        <v>151</v>
      </c>
      <c r="M55" s="35">
        <v>147</v>
      </c>
      <c r="N55" s="36">
        <f>SUM(LeitoDia[[#This Row],[JAN]:[DEZ]])</f>
        <v>1838</v>
      </c>
    </row>
    <row r="56" spans="1:14" ht="12" thickBot="1" x14ac:dyDescent="0.25">
      <c r="A56" s="1" t="s">
        <v>30</v>
      </c>
      <c r="B56" s="35">
        <v>243</v>
      </c>
      <c r="C56" s="35">
        <v>251</v>
      </c>
      <c r="D56" s="35">
        <v>256</v>
      </c>
      <c r="E56" s="35">
        <v>306</v>
      </c>
      <c r="F56" s="35">
        <v>386</v>
      </c>
      <c r="G56" s="35">
        <v>355</v>
      </c>
      <c r="H56" s="35">
        <v>420</v>
      </c>
      <c r="I56" s="35">
        <v>375</v>
      </c>
      <c r="J56" s="35">
        <v>413</v>
      </c>
      <c r="K56" s="35">
        <v>574</v>
      </c>
      <c r="L56" s="35">
        <v>451</v>
      </c>
      <c r="M56" s="35">
        <v>497</v>
      </c>
      <c r="N56" s="36">
        <f>SUM(LeitoDia[[#This Row],[JAN]:[DEZ]])</f>
        <v>4527</v>
      </c>
    </row>
    <row r="57" spans="1:14" ht="20.25" thickTop="1" thickBot="1" x14ac:dyDescent="0.25">
      <c r="A57" s="44" t="s">
        <v>138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2" thickTop="1" x14ac:dyDescent="0.2">
      <c r="A58" s="1" t="s">
        <v>133</v>
      </c>
      <c r="B58" s="1" t="s">
        <v>3</v>
      </c>
      <c r="C58" s="1" t="s">
        <v>4</v>
      </c>
      <c r="D58" s="1" t="s">
        <v>5</v>
      </c>
      <c r="E58" s="1" t="s">
        <v>6</v>
      </c>
      <c r="F58" s="1" t="s">
        <v>7</v>
      </c>
      <c r="G58" s="1" t="s">
        <v>8</v>
      </c>
      <c r="H58" s="1" t="s">
        <v>9</v>
      </c>
      <c r="I58" s="1" t="s">
        <v>10</v>
      </c>
      <c r="J58" s="1" t="s">
        <v>11</v>
      </c>
      <c r="K58" s="1" t="s">
        <v>12</v>
      </c>
      <c r="L58" s="1" t="s">
        <v>13</v>
      </c>
      <c r="M58" s="1" t="s">
        <v>14</v>
      </c>
      <c r="N58" s="2" t="s">
        <v>15</v>
      </c>
    </row>
    <row r="59" spans="1:14" x14ac:dyDescent="0.2">
      <c r="A59" s="1" t="s">
        <v>37</v>
      </c>
      <c r="B59" s="35">
        <v>4030</v>
      </c>
      <c r="C59" s="35">
        <v>3640</v>
      </c>
      <c r="D59" s="35">
        <v>4030</v>
      </c>
      <c r="E59" s="35">
        <v>3900</v>
      </c>
      <c r="F59" s="35">
        <v>4030</v>
      </c>
      <c r="G59" s="35">
        <v>3900</v>
      </c>
      <c r="H59" s="35">
        <v>4030</v>
      </c>
      <c r="I59" s="35">
        <v>4030</v>
      </c>
      <c r="J59" s="35">
        <v>3840</v>
      </c>
      <c r="K59" s="35">
        <v>4092</v>
      </c>
      <c r="L59" s="35">
        <v>3900</v>
      </c>
      <c r="M59" s="35">
        <v>3751</v>
      </c>
      <c r="N59" s="36">
        <f>SUM(LeitoDia39[[#This Row],[JAN]:[DEZ]])</f>
        <v>47173</v>
      </c>
    </row>
    <row r="60" spans="1:14" x14ac:dyDescent="0.2">
      <c r="A60" s="1" t="s">
        <v>32</v>
      </c>
      <c r="B60" s="35">
        <v>1271</v>
      </c>
      <c r="C60" s="35">
        <v>1148</v>
      </c>
      <c r="D60" s="35">
        <v>1271</v>
      </c>
      <c r="E60" s="35">
        <v>1230</v>
      </c>
      <c r="F60" s="35">
        <v>1271</v>
      </c>
      <c r="G60" s="35">
        <v>1230</v>
      </c>
      <c r="H60" s="35">
        <v>1271</v>
      </c>
      <c r="I60" s="35">
        <v>1271</v>
      </c>
      <c r="J60" s="35">
        <v>1230</v>
      </c>
      <c r="K60" s="35">
        <v>1271</v>
      </c>
      <c r="L60" s="35">
        <v>1230</v>
      </c>
      <c r="M60" s="35">
        <v>1271</v>
      </c>
      <c r="N60" s="36">
        <f>SUM(LeitoDia39[[#This Row],[JAN]:[DEZ]])</f>
        <v>14965</v>
      </c>
    </row>
    <row r="61" spans="1:14" x14ac:dyDescent="0.2">
      <c r="A61" s="1" t="s">
        <v>33</v>
      </c>
      <c r="B61" s="35">
        <v>930</v>
      </c>
      <c r="C61" s="35">
        <v>840</v>
      </c>
      <c r="D61" s="35">
        <v>930</v>
      </c>
      <c r="E61" s="35">
        <v>900</v>
      </c>
      <c r="F61" s="35">
        <v>930</v>
      </c>
      <c r="G61" s="35">
        <v>900</v>
      </c>
      <c r="H61" s="35">
        <v>930</v>
      </c>
      <c r="I61" s="35">
        <v>930</v>
      </c>
      <c r="J61" s="35">
        <v>840</v>
      </c>
      <c r="K61" s="35">
        <v>992</v>
      </c>
      <c r="L61" s="35">
        <v>900</v>
      </c>
      <c r="M61" s="35">
        <v>930</v>
      </c>
      <c r="N61" s="36">
        <f>SUM(LeitoDia39[[#This Row],[JAN]:[DEZ]])</f>
        <v>10952</v>
      </c>
    </row>
    <row r="62" spans="1:14" x14ac:dyDescent="0.2">
      <c r="A62" s="1" t="s">
        <v>34</v>
      </c>
      <c r="B62" s="35">
        <v>899</v>
      </c>
      <c r="C62" s="35">
        <v>812</v>
      </c>
      <c r="D62" s="35">
        <v>899</v>
      </c>
      <c r="E62" s="35">
        <v>870</v>
      </c>
      <c r="F62" s="35">
        <v>899</v>
      </c>
      <c r="G62" s="35">
        <v>870</v>
      </c>
      <c r="H62" s="35">
        <v>899</v>
      </c>
      <c r="I62" s="35">
        <v>899</v>
      </c>
      <c r="J62" s="35">
        <v>870</v>
      </c>
      <c r="K62" s="35">
        <v>899</v>
      </c>
      <c r="L62" s="35">
        <v>870</v>
      </c>
      <c r="M62" s="35">
        <v>899</v>
      </c>
      <c r="N62" s="36">
        <f>SUM(LeitoDia39[[#This Row],[JAN]:[DEZ]])</f>
        <v>10585</v>
      </c>
    </row>
    <row r="63" spans="1:14" x14ac:dyDescent="0.2">
      <c r="A63" s="1" t="s">
        <v>35</v>
      </c>
      <c r="B63" s="35">
        <v>930</v>
      </c>
      <c r="C63" s="35">
        <v>840</v>
      </c>
      <c r="D63" s="35">
        <v>930</v>
      </c>
      <c r="E63" s="35">
        <v>900</v>
      </c>
      <c r="F63" s="35">
        <v>930</v>
      </c>
      <c r="G63" s="35">
        <v>900</v>
      </c>
      <c r="H63" s="35">
        <v>930</v>
      </c>
      <c r="I63" s="35">
        <v>930</v>
      </c>
      <c r="J63" s="35">
        <v>900</v>
      </c>
      <c r="K63" s="35">
        <v>930</v>
      </c>
      <c r="L63" s="35">
        <v>900</v>
      </c>
      <c r="M63" s="35">
        <v>651</v>
      </c>
      <c r="N63" s="36">
        <f>SUM(LeitoDia39[[#This Row],[JAN]:[DEZ]])</f>
        <v>10671</v>
      </c>
    </row>
    <row r="64" spans="1:14" x14ac:dyDescent="0.2">
      <c r="A64" s="1" t="s">
        <v>31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6">
        <f>SUM(LeitoDia39[[#This Row],[JAN]:[DEZ]])</f>
        <v>0</v>
      </c>
    </row>
    <row r="65" spans="1:14" x14ac:dyDescent="0.2">
      <c r="A65" s="1" t="s">
        <v>29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>
        <f>SUM(LeitoDia39[[#This Row],[JAN]:[DEZ]])</f>
        <v>0</v>
      </c>
    </row>
    <row r="66" spans="1:14" x14ac:dyDescent="0.2">
      <c r="A66" s="1" t="s">
        <v>28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6">
        <f>SUM(LeitoDia39[[#This Row],[JAN]:[DEZ]])</f>
        <v>0</v>
      </c>
    </row>
    <row r="67" spans="1:14" x14ac:dyDescent="0.2">
      <c r="A67" s="1" t="s">
        <v>30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6">
        <f>SUM(LeitoDia39[[#This Row],[JAN]:[DEZ]])</f>
        <v>0</v>
      </c>
    </row>
    <row r="68" spans="1:14" ht="12" thickBot="1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</row>
    <row r="69" spans="1:14" ht="20.25" thickTop="1" thickBot="1" x14ac:dyDescent="0.25">
      <c r="A69" s="43" t="s">
        <v>139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1:14" ht="12" thickTop="1" x14ac:dyDescent="0.2">
      <c r="A70" s="1" t="s">
        <v>133</v>
      </c>
      <c r="B70" s="1" t="s">
        <v>3</v>
      </c>
      <c r="C70" s="1" t="s">
        <v>4</v>
      </c>
      <c r="D70" s="1" t="s">
        <v>5</v>
      </c>
      <c r="E70" s="1" t="s">
        <v>6</v>
      </c>
      <c r="F70" s="1" t="s">
        <v>7</v>
      </c>
      <c r="G70" s="1" t="s">
        <v>8</v>
      </c>
      <c r="H70" s="1" t="s">
        <v>9</v>
      </c>
      <c r="I70" s="1" t="s">
        <v>10</v>
      </c>
      <c r="J70" s="1" t="s">
        <v>11</v>
      </c>
      <c r="K70" s="1" t="s">
        <v>12</v>
      </c>
      <c r="L70" s="1" t="s">
        <v>13</v>
      </c>
      <c r="M70" s="1" t="s">
        <v>14</v>
      </c>
      <c r="N70" s="2" t="s">
        <v>15</v>
      </c>
    </row>
    <row r="71" spans="1:14" x14ac:dyDescent="0.2">
      <c r="A71" s="1" t="s">
        <v>37</v>
      </c>
      <c r="B71" s="37">
        <f>IF(B$1=0,0,B4/B$1)</f>
        <v>137.12903225806451</v>
      </c>
      <c r="C71" s="37">
        <f>IF(C$1=0,0,C4/C$1)</f>
        <v>142.75</v>
      </c>
      <c r="D71" s="37">
        <f>IF(D$1=0,0,D4/D$1)</f>
        <v>140.93548387096774</v>
      </c>
      <c r="E71" s="37">
        <f>IF(E$1=0,0,E4/E$1)</f>
        <v>154.83333333333334</v>
      </c>
      <c r="F71" s="37">
        <f>IF(F$1=0,0,F4/F$1)</f>
        <v>155.03225806451613</v>
      </c>
      <c r="G71" s="37">
        <f>IF(G$1=0,0,G4/G$1)</f>
        <v>151.83333333333334</v>
      </c>
      <c r="H71" s="37">
        <f>IF(H$1=0,0,H4/H$1)</f>
        <v>154.87096774193549</v>
      </c>
      <c r="I71" s="37">
        <f>IF(I$1=0,0,I4/I$1)</f>
        <v>141.06451612903226</v>
      </c>
      <c r="J71" s="37">
        <f>IF(J$1=0,0,J4/J$1)</f>
        <v>155.13333333333333</v>
      </c>
      <c r="K71" s="37">
        <f>IF(K$1=0,0,K4/K$1)</f>
        <v>169.83870967741936</v>
      </c>
      <c r="L71" s="37">
        <f>IF(L$1=0,0,L4/L$1)</f>
        <v>168.73333333333332</v>
      </c>
      <c r="M71" s="37">
        <f>IF(M$1=0,0,M4/M$1)</f>
        <v>159.58064516129033</v>
      </c>
      <c r="N71" s="38">
        <f>IF(N$1=0,0,N4/N$1)</f>
        <v>152.67123287671234</v>
      </c>
    </row>
    <row r="72" spans="1:14" x14ac:dyDescent="0.2">
      <c r="A72" s="1" t="s">
        <v>32</v>
      </c>
      <c r="B72" s="37">
        <f>IF(B$1=0,0,B5/B$1)</f>
        <v>26.967741935483872</v>
      </c>
      <c r="C72" s="37">
        <f>IF(C$1=0,0,C5/C$1)</f>
        <v>30</v>
      </c>
      <c r="D72" s="37">
        <f>IF(D$1=0,0,D5/D$1)</f>
        <v>30.06451612903226</v>
      </c>
      <c r="E72" s="37">
        <f>IF(E$1=0,0,E5/E$1)</f>
        <v>32.033333333333331</v>
      </c>
      <c r="F72" s="37">
        <f>IF(F$1=0,0,F5/F$1)</f>
        <v>33.387096774193552</v>
      </c>
      <c r="G72" s="37">
        <f>IF(G$1=0,0,G5/G$1)</f>
        <v>33.1</v>
      </c>
      <c r="H72" s="37">
        <f>IF(H$1=0,0,H5/H$1)</f>
        <v>33.612903225806448</v>
      </c>
      <c r="I72" s="37">
        <f>IF(I$1=0,0,I5/I$1)</f>
        <v>30.483870967741936</v>
      </c>
      <c r="J72" s="37">
        <f>IF(J$1=0,0,J5/J$1)</f>
        <v>32.6</v>
      </c>
      <c r="K72" s="37">
        <f>IF(K$1=0,0,K5/K$1)</f>
        <v>31.741935483870968</v>
      </c>
      <c r="L72" s="37">
        <f>IF(L$1=0,0,L5/L$1)</f>
        <v>32.6</v>
      </c>
      <c r="M72" s="37">
        <f>IF(M$1=0,0,M5/M$1)</f>
        <v>29.483870967741936</v>
      </c>
      <c r="N72" s="38">
        <f>IF(N$1=0,0,N5/N$1)</f>
        <v>31.336986301369862</v>
      </c>
    </row>
    <row r="73" spans="1:14" x14ac:dyDescent="0.2">
      <c r="A73" s="1" t="s">
        <v>33</v>
      </c>
      <c r="B73" s="37">
        <f>IF(B$1=0,0,B6/B$1)</f>
        <v>32.354838709677416</v>
      </c>
      <c r="C73" s="37">
        <f>IF(C$1=0,0,C6/C$1)</f>
        <v>30.714285714285715</v>
      </c>
      <c r="D73" s="37">
        <f>IF(D$1=0,0,D6/D$1)</f>
        <v>29</v>
      </c>
      <c r="E73" s="37">
        <f>IF(E$1=0,0,E6/E$1)</f>
        <v>29.7</v>
      </c>
      <c r="F73" s="37">
        <f>IF(F$1=0,0,F6/F$1)</f>
        <v>32.87096774193548</v>
      </c>
      <c r="G73" s="37">
        <f>IF(G$1=0,0,G6/G$1)</f>
        <v>31.833333333333332</v>
      </c>
      <c r="H73" s="37">
        <f>IF(H$1=0,0,H6/H$1)</f>
        <v>32.161290322580648</v>
      </c>
      <c r="I73" s="37">
        <f>IF(I$1=0,0,I6/I$1)</f>
        <v>30.580645161290324</v>
      </c>
      <c r="J73" s="37">
        <f>IF(J$1=0,0,J6/J$1)</f>
        <v>31.766666666666666</v>
      </c>
      <c r="K73" s="37">
        <f>IF(K$1=0,0,K6/K$1)</f>
        <v>31.806451612903224</v>
      </c>
      <c r="L73" s="37">
        <f>IF(L$1=0,0,L6/L$1)</f>
        <v>32.033333333333331</v>
      </c>
      <c r="M73" s="37">
        <f>IF(M$1=0,0,M6/M$1)</f>
        <v>29.129032258064516</v>
      </c>
      <c r="N73" s="38">
        <f>IF(N$1=0,0,N6/N$1)</f>
        <v>31.164383561643834</v>
      </c>
    </row>
    <row r="74" spans="1:14" x14ac:dyDescent="0.2">
      <c r="A74" s="1" t="s">
        <v>34</v>
      </c>
      <c r="B74" s="37">
        <f>IF(B$1=0,0,B7/B$1)</f>
        <v>22.93548387096774</v>
      </c>
      <c r="C74" s="37">
        <f>IF(C$1=0,0,C7/C$1)</f>
        <v>24.321428571428573</v>
      </c>
      <c r="D74" s="37">
        <f>IF(D$1=0,0,D7/D$1)</f>
        <v>22.387096774193548</v>
      </c>
      <c r="E74" s="37">
        <f>IF(E$1=0,0,E7/E$1)</f>
        <v>24.833333333333332</v>
      </c>
      <c r="F74" s="37">
        <f>IF(F$1=0,0,F7/F$1)</f>
        <v>24.612903225806452</v>
      </c>
      <c r="G74" s="37">
        <f>IF(G$1=0,0,G7/G$1)</f>
        <v>26.5</v>
      </c>
      <c r="H74" s="37">
        <f>IF(H$1=0,0,H7/H$1)</f>
        <v>28.838709677419356</v>
      </c>
      <c r="I74" s="37">
        <f>IF(I$1=0,0,I7/I$1)</f>
        <v>28.64516129032258</v>
      </c>
      <c r="J74" s="37">
        <f>IF(J$1=0,0,J7/J$1)</f>
        <v>28.833333333333332</v>
      </c>
      <c r="K74" s="37">
        <f>IF(K$1=0,0,K7/K$1)</f>
        <v>28.64516129032258</v>
      </c>
      <c r="L74" s="37">
        <f>IF(L$1=0,0,L7/L$1)</f>
        <v>28.966666666666665</v>
      </c>
      <c r="M74" s="37">
        <f>IF(M$1=0,0,M7/M$1)</f>
        <v>29.29032258064516</v>
      </c>
      <c r="N74" s="38">
        <f>IF(N$1=0,0,N7/N$1)</f>
        <v>26.578082191780823</v>
      </c>
    </row>
    <row r="75" spans="1:14" x14ac:dyDescent="0.2">
      <c r="A75" s="1" t="s">
        <v>35</v>
      </c>
      <c r="B75" s="37">
        <f>IF(B$1=0,0,B8/B$1)</f>
        <v>14.161290322580646</v>
      </c>
      <c r="C75" s="37">
        <f>IF(C$1=0,0,C8/C$1)</f>
        <v>12.214285714285714</v>
      </c>
      <c r="D75" s="37">
        <f>IF(D$1=0,0,D8/D$1)</f>
        <v>15.516129032258064</v>
      </c>
      <c r="E75" s="37">
        <f>IF(E$1=0,0,E8/E$1)</f>
        <v>16.033333333333335</v>
      </c>
      <c r="F75" s="37">
        <f>IF(F$1=0,0,F8/F$1)</f>
        <v>16</v>
      </c>
      <c r="G75" s="37">
        <f>IF(G$1=0,0,G8/G$1)</f>
        <v>15.7</v>
      </c>
      <c r="H75" s="37">
        <f>IF(H$1=0,0,H8/H$1)</f>
        <v>13.741935483870968</v>
      </c>
      <c r="I75" s="37">
        <f>IF(I$1=0,0,I8/I$1)</f>
        <v>9.870967741935484</v>
      </c>
      <c r="J75" s="37">
        <f>IF(J$1=0,0,J8/J$1)</f>
        <v>9.7666666666666675</v>
      </c>
      <c r="K75" s="37">
        <f>IF(K$1=0,0,K8/K$1)</f>
        <v>9.7096774193548381</v>
      </c>
      <c r="L75" s="37">
        <f>IF(L$1=0,0,L8/L$1)</f>
        <v>9.9</v>
      </c>
      <c r="M75" s="37">
        <f>IF(M$1=0,0,M8/M$1)</f>
        <v>13.806451612903226</v>
      </c>
      <c r="N75" s="38">
        <f>IF(N$1=0,0,N8/N$1)</f>
        <v>13.043835616438356</v>
      </c>
    </row>
    <row r="76" spans="1:14" x14ac:dyDescent="0.2">
      <c r="A76" s="1" t="s">
        <v>31</v>
      </c>
      <c r="B76" s="37">
        <f>IF(B$1=0,0,B9/B$1)</f>
        <v>6.193548387096774</v>
      </c>
      <c r="C76" s="37">
        <f>IF(C$1=0,0,C9/C$1)</f>
        <v>7.3928571428571432</v>
      </c>
      <c r="D76" s="37">
        <f>IF(D$1=0,0,D9/D$1)</f>
        <v>7.419354838709677</v>
      </c>
      <c r="E76" s="37">
        <f>IF(E$1=0,0,E9/E$1)</f>
        <v>7.166666666666667</v>
      </c>
      <c r="F76" s="37">
        <f>IF(F$1=0,0,F9/F$1)</f>
        <v>8.4838709677419359</v>
      </c>
      <c r="G76" s="37">
        <f>IF(G$1=0,0,G9/G$1)</f>
        <v>7.4666666666666668</v>
      </c>
      <c r="H76" s="37">
        <f>IF(H$1=0,0,H9/H$1)</f>
        <v>6.32258064516129</v>
      </c>
      <c r="I76" s="37">
        <f>IF(I$1=0,0,I9/I$1)</f>
        <v>5.161290322580645</v>
      </c>
      <c r="J76" s="37">
        <f>IF(J$1=0,0,J9/J$1)</f>
        <v>6</v>
      </c>
      <c r="K76" s="37">
        <f>IF(K$1=0,0,K9/K$1)</f>
        <v>6.129032258064516</v>
      </c>
      <c r="L76" s="37">
        <f>IF(L$1=0,0,L9/L$1)</f>
        <v>6.1</v>
      </c>
      <c r="M76" s="37">
        <f>IF(M$1=0,0,M9/M$1)</f>
        <v>5</v>
      </c>
      <c r="N76" s="38">
        <f>IF(N$1=0,0,N9/N$1)</f>
        <v>6.5616438356164384</v>
      </c>
    </row>
    <row r="77" spans="1:14" x14ac:dyDescent="0.2">
      <c r="A77" s="1" t="s">
        <v>29</v>
      </c>
      <c r="B77" s="37">
        <f>IF(B$1=0,0,B10/B$1)</f>
        <v>24.06451612903226</v>
      </c>
      <c r="C77" s="37">
        <f>IF(C$1=0,0,C10/C$1)</f>
        <v>25.464285714285715</v>
      </c>
      <c r="D77" s="37">
        <f>IF(D$1=0,0,D10/D$1)</f>
        <v>26.419354838709676</v>
      </c>
      <c r="E77" s="37">
        <f>IF(E$1=0,0,E10/E$1)</f>
        <v>32.833333333333336</v>
      </c>
      <c r="F77" s="37">
        <f>IF(F$1=0,0,F10/F$1)</f>
        <v>25.677419354838708</v>
      </c>
      <c r="G77" s="37">
        <f>IF(G$1=0,0,G10/G$1)</f>
        <v>23.033333333333335</v>
      </c>
      <c r="H77" s="37">
        <f>IF(H$1=0,0,H10/H$1)</f>
        <v>23.838709677419356</v>
      </c>
      <c r="I77" s="37">
        <f>IF(I$1=0,0,I10/I$1)</f>
        <v>21.451612903225808</v>
      </c>
      <c r="J77" s="37">
        <f>IF(J$1=0,0,J10/J$1)</f>
        <v>28.733333333333334</v>
      </c>
      <c r="K77" s="37">
        <f>IF(K$1=0,0,K10/K$1)</f>
        <v>38.225806451612904</v>
      </c>
      <c r="L77" s="37">
        <f>IF(L$1=0,0,L10/L$1)</f>
        <v>39.366666666666667</v>
      </c>
      <c r="M77" s="37">
        <f>IF(M$1=0,0,M10/M$1)</f>
        <v>35.967741935483872</v>
      </c>
      <c r="N77" s="38">
        <f>IF(N$1=0,0,N10/N$1)</f>
        <v>28.758904109589039</v>
      </c>
    </row>
    <row r="78" spans="1:14" x14ac:dyDescent="0.2">
      <c r="A78" s="1" t="s">
        <v>28</v>
      </c>
      <c r="B78" s="37">
        <f>IF(B$1=0,0,B11/B$1)</f>
        <v>4.4516129032258061</v>
      </c>
      <c r="C78" s="37">
        <f>IF(C$1=0,0,C11/C$1)</f>
        <v>3.7857142857142856</v>
      </c>
      <c r="D78" s="37">
        <f>IF(D$1=0,0,D11/D$1)</f>
        <v>2.4193548387096775</v>
      </c>
      <c r="E78" s="37">
        <f>IF(E$1=0,0,E11/E$1)</f>
        <v>4.8</v>
      </c>
      <c r="F78" s="37">
        <f>IF(F$1=0,0,F11/F$1)</f>
        <v>4.903225806451613</v>
      </c>
      <c r="G78" s="37">
        <f>IF(G$1=0,0,G11/G$1)</f>
        <v>4.8</v>
      </c>
      <c r="H78" s="37">
        <f>IF(H$1=0,0,H11/H$1)</f>
        <v>4.903225806451613</v>
      </c>
      <c r="I78" s="37">
        <f>IF(I$1=0,0,I11/I$1)</f>
        <v>4.935483870967742</v>
      </c>
      <c r="J78" s="37">
        <f>IF(J$1=0,0,J11/J$1)</f>
        <v>5</v>
      </c>
      <c r="K78" s="37">
        <f>IF(K$1=0,0,K11/K$1)</f>
        <v>4.903225806451613</v>
      </c>
      <c r="L78" s="37">
        <f>IF(L$1=0,0,L11/L$1)</f>
        <v>4.9333333333333336</v>
      </c>
      <c r="M78" s="37">
        <f>IF(M$1=0,0,M11/M$1)</f>
        <v>4.161290322580645</v>
      </c>
      <c r="N78" s="38">
        <f>IF(N$1=0,0,N11/N$1)</f>
        <v>4.5013698630136982</v>
      </c>
    </row>
    <row r="79" spans="1:14" ht="12" thickBot="1" x14ac:dyDescent="0.25">
      <c r="A79" s="1" t="s">
        <v>30</v>
      </c>
      <c r="B79" s="37">
        <f>IF(B$1=0,0,B12/B$1)</f>
        <v>7.709677419354839</v>
      </c>
      <c r="C79" s="37">
        <f>IF(C$1=0,0,C12/C$1)</f>
        <v>8.9642857142857135</v>
      </c>
      <c r="D79" s="37">
        <f>IF(D$1=0,0,D12/D$1)</f>
        <v>8.2258064516129039</v>
      </c>
      <c r="E79" s="37">
        <f>IF(E$1=0,0,E12/E$1)</f>
        <v>10.199999999999999</v>
      </c>
      <c r="F79" s="37">
        <f>IF(F$1=0,0,F12/F$1)</f>
        <v>12.451612903225806</v>
      </c>
      <c r="G79" s="37">
        <f>IF(G$1=0,0,G12/G$1)</f>
        <v>11.833333333333334</v>
      </c>
      <c r="H79" s="37">
        <f>IF(H$1=0,0,H12/H$1)</f>
        <v>13.548387096774194</v>
      </c>
      <c r="I79" s="37">
        <f>IF(I$1=0,0,I12/I$1)</f>
        <v>12.096774193548388</v>
      </c>
      <c r="J79" s="37">
        <f>IF(J$1=0,0,J12/J$1)</f>
        <v>13.733333333333333</v>
      </c>
      <c r="K79" s="37">
        <f>IF(K$1=0,0,K12/K$1)</f>
        <v>18.516129032258064</v>
      </c>
      <c r="L79" s="37">
        <f>IF(L$1=0,0,L12/L$1)</f>
        <v>14.9</v>
      </c>
      <c r="M79" s="37">
        <f>IF(M$1=0,0,M12/M$1)</f>
        <v>15.709677419354838</v>
      </c>
      <c r="N79" s="38">
        <f>IF(N$1=0,0,N12/N$1)</f>
        <v>12.347945205479451</v>
      </c>
    </row>
    <row r="80" spans="1:14" ht="20.25" thickTop="1" thickBot="1" x14ac:dyDescent="0.25">
      <c r="A80" s="43" t="s">
        <v>140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1:14" ht="12" thickTop="1" x14ac:dyDescent="0.2">
      <c r="A81" s="1" t="s">
        <v>133</v>
      </c>
      <c r="B81" s="1" t="s">
        <v>3</v>
      </c>
      <c r="C81" s="1" t="s">
        <v>4</v>
      </c>
      <c r="D81" s="1" t="s">
        <v>5</v>
      </c>
      <c r="E81" s="1" t="s">
        <v>6</v>
      </c>
      <c r="F81" s="1" t="s">
        <v>7</v>
      </c>
      <c r="G81" s="1" t="s">
        <v>8</v>
      </c>
      <c r="H81" s="1" t="s">
        <v>9</v>
      </c>
      <c r="I81" s="1" t="s">
        <v>10</v>
      </c>
      <c r="J81" s="1" t="s">
        <v>11</v>
      </c>
      <c r="K81" s="1" t="s">
        <v>12</v>
      </c>
      <c r="L81" s="1" t="s">
        <v>13</v>
      </c>
      <c r="M81" s="1" t="s">
        <v>14</v>
      </c>
      <c r="N81" s="2" t="s">
        <v>15</v>
      </c>
    </row>
    <row r="82" spans="1:14" x14ac:dyDescent="0.2">
      <c r="A82" s="1" t="s">
        <v>37</v>
      </c>
      <c r="B82" s="37">
        <f>IF(B15 = 0,0,B4/B15)</f>
        <v>9.8860465116279066</v>
      </c>
      <c r="C82" s="37">
        <f>IF(C15 = 0,0,C4/C15)</f>
        <v>9.084090909090909</v>
      </c>
      <c r="D82" s="37">
        <f>IF(D15 = 0,0,D4/D15)</f>
        <v>8.7907444668008043</v>
      </c>
      <c r="E82" s="37">
        <f>IF(E15 = 0,0,E4/E15)</f>
        <v>9.1980198019801982</v>
      </c>
      <c r="F82" s="37">
        <f>IF(F15 = 0,0,F4/F15)</f>
        <v>8.4315789473684202</v>
      </c>
      <c r="G82" s="37">
        <f>IF(G15 = 0,0,G4/G15)</f>
        <v>7.7203389830508478</v>
      </c>
      <c r="H82" s="37">
        <f>IF(H15 = 0,0,H4/H15)</f>
        <v>8.4228070175438603</v>
      </c>
      <c r="I82" s="37">
        <f>IF(I15 = 0,0,I4/I15)</f>
        <v>8.7111553784860565</v>
      </c>
      <c r="J82" s="37">
        <f>IF(J15 = 0,0,J4/J15)</f>
        <v>9.4210526315789469</v>
      </c>
      <c r="K82" s="37">
        <f>IF(K15 = 0,0,K4/K15)</f>
        <v>9.933962264150944</v>
      </c>
      <c r="L82" s="37">
        <f>IF(L15 = 0,0,L4/L15)</f>
        <v>10.980477223427332</v>
      </c>
      <c r="M82" s="37">
        <f>IF(M15 = 0,0,M4/M15)</f>
        <v>9.0770642201834857</v>
      </c>
      <c r="N82" s="38">
        <f>IF(N15 = 0,0,N4/N15)</f>
        <v>9.0846103684382129</v>
      </c>
    </row>
    <row r="83" spans="1:14" x14ac:dyDescent="0.2">
      <c r="A83" s="1" t="s">
        <v>32</v>
      </c>
      <c r="B83" s="37">
        <f>IF(B16 = 0,0,B5/B16)</f>
        <v>6.1925925925925922</v>
      </c>
      <c r="C83" s="37">
        <f>IF(C16 = 0,0,C5/C16)</f>
        <v>7.3684210526315788</v>
      </c>
      <c r="D83" s="37">
        <f>IF(D16 = 0,0,D5/D16)</f>
        <v>9.32</v>
      </c>
      <c r="E83" s="37">
        <f>IF(E16 = 0,0,E5/E16)</f>
        <v>9.3300970873786415</v>
      </c>
      <c r="F83" s="37">
        <f>IF(F16 = 0,0,F5/F16)</f>
        <v>10.454545454545455</v>
      </c>
      <c r="G83" s="37">
        <f>IF(G16 = 0,0,G5/G16)</f>
        <v>9.93</v>
      </c>
      <c r="H83" s="37">
        <f>IF(H16 = 0,0,H5/H16)</f>
        <v>8.140625</v>
      </c>
      <c r="I83" s="37">
        <f>IF(I16 = 0,0,I5/I16)</f>
        <v>7.9411764705882355</v>
      </c>
      <c r="J83" s="37">
        <f>IF(J16 = 0,0,J5/J16)</f>
        <v>8.8909090909090907</v>
      </c>
      <c r="K83" s="37">
        <f>IF(K16 = 0,0,K5/K16)</f>
        <v>7.2352941176470589</v>
      </c>
      <c r="L83" s="37">
        <f>IF(L16 = 0,0,L5/L16)</f>
        <v>8.7321428571428577</v>
      </c>
      <c r="M83" s="37">
        <f>IF(M16 = 0,0,M5/M16)</f>
        <v>7.253968253968254</v>
      </c>
      <c r="N83" s="38">
        <f>IF(N16 = 0,0,N5/N16)</f>
        <v>8.2764109985528211</v>
      </c>
    </row>
    <row r="84" spans="1:14" x14ac:dyDescent="0.2">
      <c r="A84" s="1" t="s">
        <v>33</v>
      </c>
      <c r="B84" s="37">
        <f>IF(B17 = 0,0,B6/B17)</f>
        <v>11.269662921348315</v>
      </c>
      <c r="C84" s="37">
        <f>IF(C17 = 0,0,C6/C17)</f>
        <v>7.8899082568807337</v>
      </c>
      <c r="D84" s="37">
        <f>IF(D17 = 0,0,D6/D17)</f>
        <v>6.1156462585034017</v>
      </c>
      <c r="E84" s="37">
        <f>IF(E17 = 0,0,E6/E17)</f>
        <v>5.8618421052631575</v>
      </c>
      <c r="F84" s="37">
        <f>IF(F17 = 0,0,F6/F17)</f>
        <v>6.3687500000000004</v>
      </c>
      <c r="G84" s="37">
        <f>IF(G17 = 0,0,G6/G17)</f>
        <v>5.1621621621621623</v>
      </c>
      <c r="H84" s="37">
        <f>IF(H17 = 0,0,H6/H17)</f>
        <v>7.0709219858156027</v>
      </c>
      <c r="I84" s="37">
        <f>IF(I17 = 0,0,I6/I17)</f>
        <v>7.2923076923076922</v>
      </c>
      <c r="J84" s="37">
        <f>IF(J17 = 0,0,J6/J17)</f>
        <v>6.9562043795620436</v>
      </c>
      <c r="K84" s="37">
        <f>IF(K17 = 0,0,K6/K17)</f>
        <v>6.7074829931972788</v>
      </c>
      <c r="L84" s="37">
        <f>IF(L17 = 0,0,L6/L17)</f>
        <v>9.066037735849056</v>
      </c>
      <c r="M84" s="37">
        <f>IF(M17 = 0,0,M6/M17)</f>
        <v>6.893129770992366</v>
      </c>
      <c r="N84" s="38">
        <f>IF(N17 = 0,0,N6/N17)</f>
        <v>6.9614443084455324</v>
      </c>
    </row>
    <row r="85" spans="1:14" x14ac:dyDescent="0.2">
      <c r="A85" s="1" t="s">
        <v>34</v>
      </c>
      <c r="B85" s="37">
        <f>IF(B18 = 0,0,B7/B18)</f>
        <v>16.15909090909091</v>
      </c>
      <c r="C85" s="37">
        <f>IF(C18 = 0,0,C7/C18)</f>
        <v>16.609756097560975</v>
      </c>
      <c r="D85" s="37">
        <f>IF(D18 = 0,0,D7/D18)</f>
        <v>15.086956521739131</v>
      </c>
      <c r="E85" s="37">
        <f>IF(E18 = 0,0,E7/E18)</f>
        <v>16.195652173913043</v>
      </c>
      <c r="F85" s="37">
        <f>IF(F18 = 0,0,F7/F18)</f>
        <v>8.0315789473684216</v>
      </c>
      <c r="G85" s="37">
        <f>IF(G18 = 0,0,G7/G18)</f>
        <v>8.4574468085106389</v>
      </c>
      <c r="H85" s="37">
        <f>IF(H18 = 0,0,H7/H18)</f>
        <v>11.037037037037036</v>
      </c>
      <c r="I85" s="37">
        <f>IF(I18 = 0,0,I7/I18)</f>
        <v>9.97752808988764</v>
      </c>
      <c r="J85" s="37">
        <f>IF(J18 = 0,0,J7/J18)</f>
        <v>16.96078431372549</v>
      </c>
      <c r="K85" s="37">
        <f>IF(K18 = 0,0,K7/K18)</f>
        <v>18.893617021276597</v>
      </c>
      <c r="L85" s="37">
        <f>IF(L18 = 0,0,L7/L18)</f>
        <v>16.39622641509434</v>
      </c>
      <c r="M85" s="37">
        <f>IF(M18 = 0,0,M7/M18)</f>
        <v>11.49367088607595</v>
      </c>
      <c r="N85" s="38">
        <f>IF(N18 = 0,0,N7/N18)</f>
        <v>12.664490861618798</v>
      </c>
    </row>
    <row r="86" spans="1:14" x14ac:dyDescent="0.2">
      <c r="A86" s="1" t="s">
        <v>35</v>
      </c>
      <c r="B86" s="37">
        <f>IF(B19 = 0,0,B8/B19)</f>
        <v>6.2714285714285714</v>
      </c>
      <c r="C86" s="37">
        <f>IF(C19 = 0,0,C8/C19)</f>
        <v>6</v>
      </c>
      <c r="D86" s="37">
        <f>IF(D19 = 0,0,D8/D19)</f>
        <v>12.657894736842104</v>
      </c>
      <c r="E86" s="37">
        <f>IF(E19 = 0,0,E8/E19)</f>
        <v>9.816326530612244</v>
      </c>
      <c r="F86" s="37">
        <f>IF(F19 = 0,0,F8/F19)</f>
        <v>7.5151515151515156</v>
      </c>
      <c r="G86" s="37">
        <f>IF(G19 = 0,0,G8/G19)</f>
        <v>8.7222222222222214</v>
      </c>
      <c r="H86" s="37">
        <f>IF(H19 = 0,0,H8/H19)</f>
        <v>7.7454545454545451</v>
      </c>
      <c r="I86" s="37">
        <f>IF(I19 = 0,0,I8/I19)</f>
        <v>7.65</v>
      </c>
      <c r="J86" s="37">
        <f>IF(J19 = 0,0,J8/J19)</f>
        <v>8.617647058823529</v>
      </c>
      <c r="K86" s="37">
        <f>IF(K19 = 0,0,K8/K19)</f>
        <v>8.1351351351351351</v>
      </c>
      <c r="L86" s="37">
        <f>IF(L19 = 0,0,L8/L19)</f>
        <v>13.5</v>
      </c>
      <c r="M86" s="37">
        <f>IF(M19 = 0,0,M8/M19)</f>
        <v>10.19047619047619</v>
      </c>
      <c r="N86" s="38">
        <f>IF(N19 = 0,0,N8/N19)</f>
        <v>8.4414893617021285</v>
      </c>
    </row>
    <row r="87" spans="1:14" x14ac:dyDescent="0.2">
      <c r="A87" s="1" t="s">
        <v>31</v>
      </c>
      <c r="B87" s="37">
        <f>IF(B20 = 0,0,B9/B20)</f>
        <v>1.6271186440677967</v>
      </c>
      <c r="C87" s="37">
        <f>IF(C20 = 0,0,C9/C20)</f>
        <v>1.5109489051094891</v>
      </c>
      <c r="D87" s="37">
        <f>IF(D20 = 0,0,D9/D20)</f>
        <v>1.4743589743589745</v>
      </c>
      <c r="E87" s="37">
        <f>IF(E20 = 0,0,E9/E20)</f>
        <v>1.25</v>
      </c>
      <c r="F87" s="37">
        <f>IF(F20 = 0,0,F9/F20)</f>
        <v>1.5654761904761905</v>
      </c>
      <c r="G87" s="37">
        <f>IF(G20 = 0,0,G9/G20)</f>
        <v>1.5033557046979866</v>
      </c>
      <c r="H87" s="37">
        <f>IF(H20 = 0,0,H9/H20)</f>
        <v>1.1461988304093567</v>
      </c>
      <c r="I87" s="37">
        <f>IF(I20 = 0,0,I9/I20)</f>
        <v>1.2598425196850394</v>
      </c>
      <c r="J87" s="37">
        <f>IF(J20 = 0,0,J9/J20)</f>
        <v>1.2857142857142858</v>
      </c>
      <c r="K87" s="37">
        <f>IF(K20 = 0,0,K9/K20)</f>
        <v>1.4503816793893129</v>
      </c>
      <c r="L87" s="37">
        <f>IF(L20 = 0,0,L9/L20)</f>
        <v>1.4758064516129032</v>
      </c>
      <c r="M87" s="37">
        <f>IF(M20 = 0,0,M9/M20)</f>
        <v>1.28099173553719</v>
      </c>
      <c r="N87" s="38">
        <f>IF(N20 = 0,0,N9/N20)</f>
        <v>1.3973162193698949</v>
      </c>
    </row>
    <row r="88" spans="1:14" x14ac:dyDescent="0.2">
      <c r="A88" s="1" t="s">
        <v>29</v>
      </c>
      <c r="B88" s="37">
        <f>IF(B21 = 0,0,B10/B21)</f>
        <v>4.6624999999999996</v>
      </c>
      <c r="C88" s="37">
        <f>IF(C21 = 0,0,C10/C21)</f>
        <v>4.850340136054422</v>
      </c>
      <c r="D88" s="37">
        <f>IF(D21 = 0,0,D10/D21)</f>
        <v>4.2</v>
      </c>
      <c r="E88" s="37">
        <f>IF(E21 = 0,0,E10/E21)</f>
        <v>4.8284313725490193</v>
      </c>
      <c r="F88" s="37">
        <f>IF(F21 = 0,0,F10/F21)</f>
        <v>3.3166666666666669</v>
      </c>
      <c r="G88" s="37">
        <f>IF(G21 = 0,0,G10/G21)</f>
        <v>2.5498154981549814</v>
      </c>
      <c r="H88" s="37">
        <f>IF(H21 = 0,0,H10/H21)</f>
        <v>3.1853448275862069</v>
      </c>
      <c r="I88" s="37">
        <f>IF(I21 = 0,0,I10/I21)</f>
        <v>2.841880341880342</v>
      </c>
      <c r="J88" s="37">
        <f>IF(J21 = 0,0,J10/J21)</f>
        <v>5.2560975609756095</v>
      </c>
      <c r="K88" s="37">
        <f>IF(K21 = 0,0,K10/K21)</f>
        <v>7.5961538461538458</v>
      </c>
      <c r="L88" s="37">
        <f>IF(L21 = 0,0,L10/L21)</f>
        <v>6.947058823529412</v>
      </c>
      <c r="M88" s="37">
        <f>IF(M21 = 0,0,M10/M21)</f>
        <v>4.7245762711864403</v>
      </c>
      <c r="N88" s="38">
        <f>IF(N21 = 0,0,N10/N21)</f>
        <v>4.3574097135740972</v>
      </c>
    </row>
    <row r="89" spans="1:14" x14ac:dyDescent="0.2">
      <c r="A89" s="1" t="s">
        <v>28</v>
      </c>
      <c r="B89" s="37">
        <f>IF(B22 = 0,0,B11/B22)</f>
        <v>11.5</v>
      </c>
      <c r="C89" s="37">
        <f>IF(C22 = 0,0,C11/C22)</f>
        <v>11.777777777777779</v>
      </c>
      <c r="D89" s="37">
        <f>IF(D22 = 0,0,D11/D22)</f>
        <v>4.6875</v>
      </c>
      <c r="E89" s="37">
        <f>IF(E22 = 0,0,E11/E22)</f>
        <v>4.645161290322581</v>
      </c>
      <c r="F89" s="37">
        <f>IF(F22 = 0,0,F11/F22)</f>
        <v>6.6086956521739131</v>
      </c>
      <c r="G89" s="37">
        <f>IF(G22 = 0,0,G11/G22)</f>
        <v>3.8918918918918921</v>
      </c>
      <c r="H89" s="37">
        <f>IF(H22 = 0,0,H11/H22)</f>
        <v>6.6086956521739131</v>
      </c>
      <c r="I89" s="37">
        <f>IF(I22 = 0,0,I11/I22)</f>
        <v>7.65</v>
      </c>
      <c r="J89" s="37">
        <f>IF(J22 = 0,0,J11/J22)</f>
        <v>12.5</v>
      </c>
      <c r="K89" s="37">
        <f>IF(K22 = 0,0,K11/K22)</f>
        <v>7.2380952380952381</v>
      </c>
      <c r="L89" s="37">
        <f>IF(L22 = 0,0,L11/L22)</f>
        <v>10.571428571428571</v>
      </c>
      <c r="M89" s="37">
        <f>IF(M22 = 0,0,M11/M22)</f>
        <v>7.166666666666667</v>
      </c>
      <c r="N89" s="38">
        <f>IF(N22 = 0,0,N11/N22)</f>
        <v>6.9618644067796609</v>
      </c>
    </row>
    <row r="90" spans="1:14" ht="12" thickBot="1" x14ac:dyDescent="0.25">
      <c r="A90" s="1" t="s">
        <v>30</v>
      </c>
      <c r="B90" s="37">
        <f>IF(B23 = 0,0,B12/B23)</f>
        <v>1.4753086419753085</v>
      </c>
      <c r="C90" s="37">
        <f>IF(C23 = 0,0,C12/C23)</f>
        <v>1.7801418439716312</v>
      </c>
      <c r="D90" s="37">
        <f>IF(D23 = 0,0,D12/D23)</f>
        <v>1.7346938775510203</v>
      </c>
      <c r="E90" s="37">
        <f>IF(E23 = 0,0,E12/E23)</f>
        <v>1.5692307692307692</v>
      </c>
      <c r="F90" s="37">
        <f>IF(F23 = 0,0,F12/F23)</f>
        <v>1.4789272030651341</v>
      </c>
      <c r="G90" s="37">
        <f>IF(G23 = 0,0,G12/G23)</f>
        <v>1.3099630996309963</v>
      </c>
      <c r="H90" s="37">
        <f>IF(H23 = 0,0,H12/H23)</f>
        <v>1.7355371900826446</v>
      </c>
      <c r="I90" s="37">
        <f>IF(I23 = 0,0,I12/I23)</f>
        <v>1.7201834862385321</v>
      </c>
      <c r="J90" s="37">
        <f>IF(J23 = 0,0,J12/J23)</f>
        <v>1.8727272727272728</v>
      </c>
      <c r="K90" s="37">
        <f>IF(K23 = 0,0,K12/K23)</f>
        <v>2.3621399176954734</v>
      </c>
      <c r="L90" s="37">
        <f>IF(L23 = 0,0,L12/L23)</f>
        <v>2.1804878048780489</v>
      </c>
      <c r="M90" s="37">
        <f>IF(M23 = 0,0,M12/M23)</f>
        <v>1.948</v>
      </c>
      <c r="N90" s="38">
        <f>IF(N23 = 0,0,N12/N23)</f>
        <v>1.7639921722113503</v>
      </c>
    </row>
    <row r="91" spans="1:14" ht="20.25" thickTop="1" thickBot="1" x14ac:dyDescent="0.25">
      <c r="A91" s="43" t="s">
        <v>141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 ht="12" thickTop="1" x14ac:dyDescent="0.2">
      <c r="A92" s="1" t="s">
        <v>133</v>
      </c>
      <c r="B92" s="1" t="s">
        <v>3</v>
      </c>
      <c r="C92" s="1" t="s">
        <v>4</v>
      </c>
      <c r="D92" s="1" t="s">
        <v>5</v>
      </c>
      <c r="E92" s="1" t="s">
        <v>6</v>
      </c>
      <c r="F92" s="1" t="s">
        <v>7</v>
      </c>
      <c r="G92" s="1" t="s">
        <v>8</v>
      </c>
      <c r="H92" s="1" t="s">
        <v>9</v>
      </c>
      <c r="I92" s="1" t="s">
        <v>10</v>
      </c>
      <c r="J92" s="1" t="s">
        <v>11</v>
      </c>
      <c r="K92" s="1" t="s">
        <v>12</v>
      </c>
      <c r="L92" s="1" t="s">
        <v>13</v>
      </c>
      <c r="M92" s="1" t="s">
        <v>14</v>
      </c>
      <c r="N92" s="2" t="s">
        <v>15</v>
      </c>
    </row>
    <row r="93" spans="1:14" x14ac:dyDescent="0.2">
      <c r="A93" s="1" t="s">
        <v>37</v>
      </c>
      <c r="B93" s="39">
        <f>IF(B59 = 0,0,B4/B59)</f>
        <v>1.0548387096774194</v>
      </c>
      <c r="C93" s="39">
        <f>IF(C59 = 0,0,C4/C59)</f>
        <v>1.0980769230769232</v>
      </c>
      <c r="D93" s="39">
        <f>IF(D59 = 0,0,D4/D59)</f>
        <v>1.0841191066997518</v>
      </c>
      <c r="E93" s="39">
        <f>IF(E59 = 0,0,E4/E59)</f>
        <v>1.191025641025641</v>
      </c>
      <c r="F93" s="39">
        <f>IF(F59 = 0,0,F4/F59)</f>
        <v>1.1925558312655087</v>
      </c>
      <c r="G93" s="39">
        <f>IF(G59 = 0,0,G4/G59)</f>
        <v>1.167948717948718</v>
      </c>
      <c r="H93" s="39">
        <f>IF(H59 = 0,0,H4/H59)</f>
        <v>1.1913151364764267</v>
      </c>
      <c r="I93" s="39">
        <f>IF(I59 = 0,0,I4/I59)</f>
        <v>1.0851116625310173</v>
      </c>
      <c r="J93" s="39">
        <f>IF(J59 = 0,0,J4/J59)</f>
        <v>1.2119791666666666</v>
      </c>
      <c r="K93" s="39">
        <f>IF(K59 = 0,0,K4/K59)</f>
        <v>1.2866568914956011</v>
      </c>
      <c r="L93" s="39">
        <f>IF(L59 = 0,0,L4/L59)</f>
        <v>1.2979487179487179</v>
      </c>
      <c r="M93" s="39">
        <f>IF(M59 = 0,0,M4/M59)</f>
        <v>1.3188483071181019</v>
      </c>
      <c r="N93" s="40">
        <f>IF(N59 = 0,0,N4/N59)</f>
        <v>1.1812901447862125</v>
      </c>
    </row>
    <row r="94" spans="1:14" x14ac:dyDescent="0.2">
      <c r="A94" s="1" t="s">
        <v>32</v>
      </c>
      <c r="B94" s="39">
        <f>IF(B60 = 0,0,B5/B60)</f>
        <v>0.65774980330448463</v>
      </c>
      <c r="C94" s="39">
        <f>IF(C60 = 0,0,C5/C60)</f>
        <v>0.73170731707317072</v>
      </c>
      <c r="D94" s="39">
        <f>IF(D60 = 0,0,D5/D60)</f>
        <v>0.73328088119590873</v>
      </c>
      <c r="E94" s="39">
        <f>IF(E60 = 0,0,E5/E60)</f>
        <v>0.78130081300813004</v>
      </c>
      <c r="F94" s="39">
        <f>IF(F60 = 0,0,F5/F60)</f>
        <v>0.81431943351691582</v>
      </c>
      <c r="G94" s="39">
        <f>IF(G60 = 0,0,G5/G60)</f>
        <v>0.80731707317073176</v>
      </c>
      <c r="H94" s="39">
        <f>IF(H60 = 0,0,H5/H60)</f>
        <v>0.81982690794649882</v>
      </c>
      <c r="I94" s="39">
        <f>IF(I60 = 0,0,I5/I60)</f>
        <v>0.74350904799370576</v>
      </c>
      <c r="J94" s="39">
        <f>IF(J60 = 0,0,J5/J60)</f>
        <v>0.79512195121951224</v>
      </c>
      <c r="K94" s="39">
        <f>IF(K60 = 0,0,K5/K60)</f>
        <v>0.77419354838709675</v>
      </c>
      <c r="L94" s="39">
        <f>IF(L60 = 0,0,L5/L60)</f>
        <v>0.79512195121951224</v>
      </c>
      <c r="M94" s="39">
        <f>IF(M60 = 0,0,M5/M60)</f>
        <v>0.71911880409126672</v>
      </c>
      <c r="N94" s="40">
        <f>IF(N60 = 0,0,N5/N60)</f>
        <v>0.76431673905780151</v>
      </c>
    </row>
    <row r="95" spans="1:14" x14ac:dyDescent="0.2">
      <c r="A95" s="1" t="s">
        <v>33</v>
      </c>
      <c r="B95" s="39">
        <f>IF(B61 = 0,0,B6/B61)</f>
        <v>1.0784946236559141</v>
      </c>
      <c r="C95" s="39">
        <f>IF(C61 = 0,0,C6/C61)</f>
        <v>1.0238095238095237</v>
      </c>
      <c r="D95" s="39">
        <f>IF(D61 = 0,0,D6/D61)</f>
        <v>0.96666666666666667</v>
      </c>
      <c r="E95" s="39">
        <f>IF(E61 = 0,0,E6/E61)</f>
        <v>0.99</v>
      </c>
      <c r="F95" s="39">
        <f>IF(F61 = 0,0,F6/F61)</f>
        <v>1.0956989247311828</v>
      </c>
      <c r="G95" s="39">
        <f>IF(G61 = 0,0,G6/G61)</f>
        <v>1.0611111111111111</v>
      </c>
      <c r="H95" s="39">
        <f>IF(H61 = 0,0,H6/H61)</f>
        <v>1.0720430107526882</v>
      </c>
      <c r="I95" s="39">
        <f>IF(I61 = 0,0,I6/I61)</f>
        <v>1.0193548387096774</v>
      </c>
      <c r="J95" s="39">
        <f>IF(J61 = 0,0,J6/J61)</f>
        <v>1.1345238095238095</v>
      </c>
      <c r="K95" s="39">
        <f>IF(K61 = 0,0,K6/K61)</f>
        <v>0.99395161290322576</v>
      </c>
      <c r="L95" s="39">
        <f>IF(L61 = 0,0,L6/L61)</f>
        <v>1.0677777777777777</v>
      </c>
      <c r="M95" s="39">
        <f>IF(M61 = 0,0,M6/M61)</f>
        <v>0.97096774193548385</v>
      </c>
      <c r="N95" s="40">
        <f>IF(N61 = 0,0,N6/N61)</f>
        <v>1.0386230825420015</v>
      </c>
    </row>
    <row r="96" spans="1:14" x14ac:dyDescent="0.2">
      <c r="A96" s="1" t="s">
        <v>34</v>
      </c>
      <c r="B96" s="39">
        <f>IF(B62 = 0,0,B7/B62)</f>
        <v>0.79087875417130149</v>
      </c>
      <c r="C96" s="39">
        <f>IF(C62 = 0,0,C7/C62)</f>
        <v>0.83866995073891626</v>
      </c>
      <c r="D96" s="39">
        <f>IF(D62 = 0,0,D7/D62)</f>
        <v>0.77196885428253614</v>
      </c>
      <c r="E96" s="39">
        <f>IF(E62 = 0,0,E7/E62)</f>
        <v>0.85632183908045978</v>
      </c>
      <c r="F96" s="39">
        <f>IF(F62 = 0,0,F7/F62)</f>
        <v>0.84872080088987767</v>
      </c>
      <c r="G96" s="39">
        <f>IF(G62 = 0,0,G7/G62)</f>
        <v>0.91379310344827591</v>
      </c>
      <c r="H96" s="39">
        <f>IF(H62 = 0,0,H7/H62)</f>
        <v>0.99443826473859842</v>
      </c>
      <c r="I96" s="39">
        <f>IF(I62 = 0,0,I7/I62)</f>
        <v>0.98776418242491659</v>
      </c>
      <c r="J96" s="39">
        <f>IF(J62 = 0,0,J7/J62)</f>
        <v>0.99425287356321834</v>
      </c>
      <c r="K96" s="39">
        <f>IF(K62 = 0,0,K7/K62)</f>
        <v>0.98776418242491659</v>
      </c>
      <c r="L96" s="39">
        <f>IF(L62 = 0,0,L7/L62)</f>
        <v>0.99885057471264371</v>
      </c>
      <c r="M96" s="39">
        <f>IF(M62 = 0,0,M7/M62)</f>
        <v>1.0100111234705229</v>
      </c>
      <c r="N96" s="40">
        <f>IF(N62 = 0,0,N7/N62)</f>
        <v>0.91648559282002839</v>
      </c>
    </row>
    <row r="97" spans="1:14" x14ac:dyDescent="0.2">
      <c r="A97" s="1" t="s">
        <v>35</v>
      </c>
      <c r="B97" s="39">
        <f>IF(B63 = 0,0,B8/B63)</f>
        <v>0.47204301075268817</v>
      </c>
      <c r="C97" s="39">
        <f>IF(C63 = 0,0,C8/C63)</f>
        <v>0.40714285714285714</v>
      </c>
      <c r="D97" s="39">
        <f>IF(D63 = 0,0,D8/D63)</f>
        <v>0.51720430107526882</v>
      </c>
      <c r="E97" s="39">
        <f>IF(E63 = 0,0,E8/E63)</f>
        <v>0.5344444444444445</v>
      </c>
      <c r="F97" s="39">
        <f>IF(F63 = 0,0,F8/F63)</f>
        <v>0.53333333333333333</v>
      </c>
      <c r="G97" s="39">
        <f>IF(G63 = 0,0,G8/G63)</f>
        <v>0.52333333333333332</v>
      </c>
      <c r="H97" s="39">
        <f>IF(H63 = 0,0,H8/H63)</f>
        <v>0.45806451612903226</v>
      </c>
      <c r="I97" s="39">
        <f>IF(I63 = 0,0,I8/I63)</f>
        <v>0.32903225806451614</v>
      </c>
      <c r="J97" s="39">
        <f>IF(J63 = 0,0,J8/J63)</f>
        <v>0.32555555555555554</v>
      </c>
      <c r="K97" s="39">
        <f>IF(K63 = 0,0,K8/K63)</f>
        <v>0.32365591397849464</v>
      </c>
      <c r="L97" s="39">
        <f>IF(L63 = 0,0,L8/L63)</f>
        <v>0.33</v>
      </c>
      <c r="M97" s="39">
        <f>IF(M63 = 0,0,M8/M63)</f>
        <v>0.65745007680491552</v>
      </c>
      <c r="N97" s="40">
        <f>IF(N63 = 0,0,N8/N63)</f>
        <v>0.44616249648580264</v>
      </c>
    </row>
    <row r="98" spans="1:14" x14ac:dyDescent="0.2">
      <c r="A98" s="1" t="s">
        <v>31</v>
      </c>
      <c r="B98" s="39">
        <f>IF(B64 = 0,0,B9/B64)</f>
        <v>0</v>
      </c>
      <c r="C98" s="39">
        <f>IF(C64 = 0,0,C9/C64)</f>
        <v>0</v>
      </c>
      <c r="D98" s="39">
        <f>IF(D64 = 0,0,D9/D64)</f>
        <v>0</v>
      </c>
      <c r="E98" s="39">
        <f>IF(E64 = 0,0,E9/E64)</f>
        <v>0</v>
      </c>
      <c r="F98" s="39">
        <f>IF(F64 = 0,0,F9/F64)</f>
        <v>0</v>
      </c>
      <c r="G98" s="39">
        <f>IF(G64 = 0,0,G9/G64)</f>
        <v>0</v>
      </c>
      <c r="H98" s="39">
        <f>IF(H64 = 0,0,H9/H64)</f>
        <v>0</v>
      </c>
      <c r="I98" s="39">
        <f>IF(I64 = 0,0,I9/I64)</f>
        <v>0</v>
      </c>
      <c r="J98" s="39">
        <f>IF(J64 = 0,0,J9/J64)</f>
        <v>0</v>
      </c>
      <c r="K98" s="39">
        <f>IF(K64 = 0,0,K9/K64)</f>
        <v>0</v>
      </c>
      <c r="L98" s="39">
        <f>IF(L64 = 0,0,L9/L64)</f>
        <v>0</v>
      </c>
      <c r="M98" s="39">
        <f>IF(M64 = 0,0,M9/M64)</f>
        <v>0</v>
      </c>
      <c r="N98" s="40">
        <f>IF(N64 = 0,0,N9/N64)</f>
        <v>0</v>
      </c>
    </row>
    <row r="99" spans="1:14" x14ac:dyDescent="0.2">
      <c r="A99" s="1" t="s">
        <v>29</v>
      </c>
      <c r="B99" s="39">
        <f>IF(B65 = 0,0,B10/B65)</f>
        <v>0</v>
      </c>
      <c r="C99" s="39">
        <f>IF(C65 = 0,0,C10/C65)</f>
        <v>0</v>
      </c>
      <c r="D99" s="39">
        <f>IF(D65 = 0,0,D10/D65)</f>
        <v>0</v>
      </c>
      <c r="E99" s="39">
        <f>IF(E65 = 0,0,E10/E65)</f>
        <v>0</v>
      </c>
      <c r="F99" s="39">
        <f>IF(F65 = 0,0,F10/F65)</f>
        <v>0</v>
      </c>
      <c r="G99" s="39">
        <f>IF(G65 = 0,0,G10/G65)</f>
        <v>0</v>
      </c>
      <c r="H99" s="39">
        <f>IF(H65 = 0,0,H10/H65)</f>
        <v>0</v>
      </c>
      <c r="I99" s="39">
        <f>IF(I65 = 0,0,I10/I65)</f>
        <v>0</v>
      </c>
      <c r="J99" s="39">
        <f>IF(J65 = 0,0,J10/J65)</f>
        <v>0</v>
      </c>
      <c r="K99" s="39">
        <f>IF(K65 = 0,0,K10/K65)</f>
        <v>0</v>
      </c>
      <c r="L99" s="39">
        <f>IF(L65 = 0,0,L10/L65)</f>
        <v>0</v>
      </c>
      <c r="M99" s="39">
        <f>IF(M65 = 0,0,M10/M65)</f>
        <v>0</v>
      </c>
      <c r="N99" s="40">
        <f>IF(N65 = 0,0,N10/N65)</f>
        <v>0</v>
      </c>
    </row>
    <row r="100" spans="1:14" x14ac:dyDescent="0.2">
      <c r="A100" s="1" t="s">
        <v>28</v>
      </c>
      <c r="B100" s="39">
        <f>IF(B66 = 0,0,B11/B66)</f>
        <v>0</v>
      </c>
      <c r="C100" s="39">
        <f>IF(C66 = 0,0,C11/C66)</f>
        <v>0</v>
      </c>
      <c r="D100" s="39">
        <f>IF(D66 = 0,0,D11/D66)</f>
        <v>0</v>
      </c>
      <c r="E100" s="39">
        <f>IF(E66 = 0,0,E11/E66)</f>
        <v>0</v>
      </c>
      <c r="F100" s="39">
        <f>IF(F66 = 0,0,F11/F66)</f>
        <v>0</v>
      </c>
      <c r="G100" s="39">
        <f>IF(G66 = 0,0,G11/G66)</f>
        <v>0</v>
      </c>
      <c r="H100" s="39">
        <f>IF(H66 = 0,0,H11/H66)</f>
        <v>0</v>
      </c>
      <c r="I100" s="39">
        <f>IF(I66 = 0,0,I11/I66)</f>
        <v>0</v>
      </c>
      <c r="J100" s="39">
        <f>IF(J66 = 0,0,J11/J66)</f>
        <v>0</v>
      </c>
      <c r="K100" s="39">
        <f>IF(K66 = 0,0,K11/K66)</f>
        <v>0</v>
      </c>
      <c r="L100" s="39">
        <f>IF(L66 = 0,0,L11/L66)</f>
        <v>0</v>
      </c>
      <c r="M100" s="39">
        <f>IF(M66 = 0,0,M11/M66)</f>
        <v>0</v>
      </c>
      <c r="N100" s="40">
        <f>IF(N66 = 0,0,N11/N66)</f>
        <v>0</v>
      </c>
    </row>
    <row r="101" spans="1:14" ht="12" thickBot="1" x14ac:dyDescent="0.25">
      <c r="A101" s="1" t="s">
        <v>30</v>
      </c>
      <c r="B101" s="39">
        <f>IF(B67 = 0,0,B12/B67)</f>
        <v>0</v>
      </c>
      <c r="C101" s="39">
        <f>IF(C67 = 0,0,C12/C67)</f>
        <v>0</v>
      </c>
      <c r="D101" s="39">
        <f>IF(D67 = 0,0,D12/D67)</f>
        <v>0</v>
      </c>
      <c r="E101" s="39">
        <f>IF(E67 = 0,0,E12/E67)</f>
        <v>0</v>
      </c>
      <c r="F101" s="39">
        <f>IF(F67 = 0,0,F12/F67)</f>
        <v>0</v>
      </c>
      <c r="G101" s="39">
        <f>IF(G67 = 0,0,G12/G67)</f>
        <v>0</v>
      </c>
      <c r="H101" s="39">
        <f>IF(H67 = 0,0,H12/H67)</f>
        <v>0</v>
      </c>
      <c r="I101" s="39">
        <f>IF(I67 = 0,0,I12/I67)</f>
        <v>0</v>
      </c>
      <c r="J101" s="39">
        <f>IF(J67 = 0,0,J12/J67)</f>
        <v>0</v>
      </c>
      <c r="K101" s="39">
        <f>IF(K67 = 0,0,K12/K67)</f>
        <v>0</v>
      </c>
      <c r="L101" s="39">
        <f>IF(L67 = 0,0,L12/L67)</f>
        <v>0</v>
      </c>
      <c r="M101" s="39">
        <f>IF(M67 = 0,0,M12/M67)</f>
        <v>0</v>
      </c>
      <c r="N101" s="40">
        <f>IF(N67 = 0,0,N12/N67)</f>
        <v>0</v>
      </c>
    </row>
    <row r="102" spans="1:14" ht="20.25" thickTop="1" thickBot="1" x14ac:dyDescent="0.25">
      <c r="A102" s="43" t="s">
        <v>142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1:14" ht="12" thickTop="1" x14ac:dyDescent="0.2">
      <c r="A103" s="1" t="s">
        <v>133</v>
      </c>
      <c r="B103" s="1" t="s">
        <v>3</v>
      </c>
      <c r="C103" s="1" t="s">
        <v>4</v>
      </c>
      <c r="D103" s="1" t="s">
        <v>5</v>
      </c>
      <c r="E103" s="1" t="s">
        <v>6</v>
      </c>
      <c r="F103" s="1" t="s">
        <v>7</v>
      </c>
      <c r="G103" s="1" t="s">
        <v>8</v>
      </c>
      <c r="H103" s="1" t="s">
        <v>9</v>
      </c>
      <c r="I103" s="1" t="s">
        <v>10</v>
      </c>
      <c r="J103" s="1" t="s">
        <v>11</v>
      </c>
      <c r="K103" s="1" t="s">
        <v>12</v>
      </c>
      <c r="L103" s="1" t="s">
        <v>13</v>
      </c>
      <c r="M103" s="1" t="s">
        <v>14</v>
      </c>
      <c r="N103" s="2" t="s">
        <v>15</v>
      </c>
    </row>
    <row r="104" spans="1:14" x14ac:dyDescent="0.2">
      <c r="A104" s="1" t="s">
        <v>37</v>
      </c>
      <c r="B104" s="39">
        <f>IF(B48=0,0,B4/B48)</f>
        <v>0.98084910013844029</v>
      </c>
      <c r="C104" s="39">
        <f>IF(C48=0,0,C4/C48)</f>
        <v>0.9985011241568823</v>
      </c>
      <c r="D104" s="39">
        <f>IF(D48=0,0,D4/D48)</f>
        <v>1</v>
      </c>
      <c r="E104" s="39">
        <f>IF(E48=0,0,E4/E48)</f>
        <v>0.99913959991395995</v>
      </c>
      <c r="F104" s="39">
        <f>IF(F48=0,0,F4/F48)</f>
        <v>0.99875311720698257</v>
      </c>
      <c r="G104" s="39">
        <f>IF(G48=0,0,G4/G48)</f>
        <v>0.99824676747753671</v>
      </c>
      <c r="H104" s="39">
        <f>IF(H48=0,0,H4/H48)</f>
        <v>0.99709241952232608</v>
      </c>
      <c r="I104" s="39">
        <f>IF(I48=0,0,I4/I48)</f>
        <v>0.99093587128937233</v>
      </c>
      <c r="J104" s="39">
        <f>IF(J48=0,0,J4/J48)</f>
        <v>0.99849817635700489</v>
      </c>
      <c r="K104" s="39">
        <f>IF(K48=0,0,K4/K48)</f>
        <v>0.99753694581280783</v>
      </c>
      <c r="L104" s="39">
        <f>IF(L48=0,0,L4/L48)</f>
        <v>0.99626057862625472</v>
      </c>
      <c r="M104" s="39">
        <f>IF(M48=0,0,M4/M48)</f>
        <v>0.9925762439807384</v>
      </c>
      <c r="N104" s="40">
        <f>IF(N48=0,0,N4/N48)</f>
        <v>0.99576498338158037</v>
      </c>
    </row>
    <row r="105" spans="1:14" x14ac:dyDescent="0.2">
      <c r="A105" s="1" t="s">
        <v>32</v>
      </c>
      <c r="B105" s="39">
        <f>IF(B49=0,0,B5/B49)</f>
        <v>0.76069153776160148</v>
      </c>
      <c r="C105" s="39">
        <f>IF(C49=0,0,C5/C49)</f>
        <v>0.85889570552147243</v>
      </c>
      <c r="D105" s="39">
        <f>IF(D49=0,0,D5/D49)</f>
        <v>0.90573372206025271</v>
      </c>
      <c r="E105" s="39">
        <f>IF(E49=0,0,E5/E49)</f>
        <v>0.91090047393364926</v>
      </c>
      <c r="F105" s="39">
        <f>IF(F49=0,0,F5/F49)</f>
        <v>0.92741935483870963</v>
      </c>
      <c r="G105" s="39">
        <f>IF(G49=0,0,G5/G49)</f>
        <v>0.91774491682070236</v>
      </c>
      <c r="H105" s="39">
        <f>IF(H49=0,0,H5/H49)</f>
        <v>0.91806167400881056</v>
      </c>
      <c r="I105" s="39">
        <f>IF(I49=0,0,I5/I49)</f>
        <v>0.85058505850585053</v>
      </c>
      <c r="J105" s="39">
        <f>IF(J49=0,0,J5/J49)</f>
        <v>0.89315068493150684</v>
      </c>
      <c r="K105" s="39">
        <f>IF(K49=0,0,K5/K49)</f>
        <v>0.86391571553994728</v>
      </c>
      <c r="L105" s="39">
        <f>IF(L49=0,0,L5/L49)</f>
        <v>0.88667271078875798</v>
      </c>
      <c r="M105" s="39">
        <f>IF(M49=0,0,M5/M49)</f>
        <v>0.79895104895104896</v>
      </c>
      <c r="N105" s="40">
        <f>IF(N49=0,0,N5/N49)</f>
        <v>0.87406388506801158</v>
      </c>
    </row>
    <row r="106" spans="1:14" x14ac:dyDescent="0.2">
      <c r="A106" s="1" t="s">
        <v>33</v>
      </c>
      <c r="B106" s="39">
        <f>IF(B50=0,0,B6/B50)</f>
        <v>0.88682581786030057</v>
      </c>
      <c r="C106" s="39">
        <f>IF(C50=0,0,C6/C50)</f>
        <v>0.88114754098360659</v>
      </c>
      <c r="D106" s="39">
        <f>IF(D50=0,0,D6/D50)</f>
        <v>0.88571428571428568</v>
      </c>
      <c r="E106" s="39">
        <f>IF(E50=0,0,E6/E50)</f>
        <v>0.84295175023651847</v>
      </c>
      <c r="F106" s="39">
        <f>IF(F50=0,0,F6/F50)</f>
        <v>0.88995633187772927</v>
      </c>
      <c r="G106" s="39">
        <f>IF(G50=0,0,G6/G50)</f>
        <v>0.86036036036036034</v>
      </c>
      <c r="H106" s="39">
        <f>IF(H50=0,0,H6/H50)</f>
        <v>0.87226596675415569</v>
      </c>
      <c r="I106" s="39">
        <f>IF(I50=0,0,I6/I50)</f>
        <v>0.83230904302019315</v>
      </c>
      <c r="J106" s="39">
        <f>IF(J50=0,0,J6/J50)</f>
        <v>0.86010830324909748</v>
      </c>
      <c r="K106" s="39">
        <f>IF(K50=0,0,K6/K50)</f>
        <v>0.85963382737576288</v>
      </c>
      <c r="L106" s="39">
        <f>IF(L50=0,0,L6/L50)</f>
        <v>0.8657657657657658</v>
      </c>
      <c r="M106" s="39">
        <f>IF(M50=0,0,M6/M50)</f>
        <v>0.79141104294478526</v>
      </c>
      <c r="N106" s="40">
        <f>IF(N50=0,0,N6/N50)</f>
        <v>0.86030857661473303</v>
      </c>
    </row>
    <row r="107" spans="1:14" x14ac:dyDescent="0.2">
      <c r="A107" s="1" t="s">
        <v>34</v>
      </c>
      <c r="B107" s="39">
        <f>IF(B51=0,0,B7/B51)</f>
        <v>0.93184796854521623</v>
      </c>
      <c r="C107" s="39">
        <f>IF(C51=0,0,C7/C51)</f>
        <v>0.97146932952924392</v>
      </c>
      <c r="D107" s="39">
        <f>IF(D51=0,0,D7/D51)</f>
        <v>0.939106901217862</v>
      </c>
      <c r="E107" s="39">
        <f>IF(E51=0,0,E7/E51)</f>
        <v>0.99069148936170215</v>
      </c>
      <c r="F107" s="39">
        <f>IF(F51=0,0,F7/F51)</f>
        <v>0.97946084724005134</v>
      </c>
      <c r="G107" s="39">
        <f>IF(G51=0,0,G7/G51)</f>
        <v>0.98269468479604449</v>
      </c>
      <c r="H107" s="39">
        <f>IF(H51=0,0,H7/H51)</f>
        <v>0.99333333333333329</v>
      </c>
      <c r="I107" s="39">
        <f>IF(I51=0,0,I7/I51)</f>
        <v>0.98666666666666669</v>
      </c>
      <c r="J107" s="39">
        <f>IF(J51=0,0,J7/J51)</f>
        <v>0.99311136624569463</v>
      </c>
      <c r="K107" s="39">
        <f>IF(K51=0,0,K7/K51)</f>
        <v>0.98776418242491659</v>
      </c>
      <c r="L107" s="39">
        <f>IF(L51=0,0,L7/L51)</f>
        <v>0.99655963302752293</v>
      </c>
      <c r="M107" s="39">
        <f>IF(M51=0,0,M7/M51)</f>
        <v>0.99670691547749724</v>
      </c>
      <c r="N107" s="40">
        <f>IF(N51=0,0,N7/N51)</f>
        <v>0.98029506871463212</v>
      </c>
    </row>
    <row r="108" spans="1:14" x14ac:dyDescent="0.2">
      <c r="A108" s="1" t="s">
        <v>35</v>
      </c>
      <c r="B108" s="39">
        <f>IF(B52=0,0,B8/B52)</f>
        <v>0.83143939393939392</v>
      </c>
      <c r="C108" s="39">
        <f>IF(C52=0,0,C8/C52)</f>
        <v>0.71848739495798319</v>
      </c>
      <c r="D108" s="39">
        <f>IF(D52=0,0,D8/D52)</f>
        <v>0.91271347248576851</v>
      </c>
      <c r="E108" s="39">
        <f>IF(E52=0,0,E8/E52)</f>
        <v>0.94313725490196076</v>
      </c>
      <c r="F108" s="39">
        <f>IF(F52=0,0,F8/F52)</f>
        <v>0.93939393939393945</v>
      </c>
      <c r="G108" s="39">
        <f>IF(G52=0,0,G8/G52)</f>
        <v>0.92352941176470593</v>
      </c>
      <c r="H108" s="39">
        <f>IF(H52=0,0,H8/H52)</f>
        <v>0.8801652892561983</v>
      </c>
      <c r="I108" s="39">
        <f>IF(I52=0,0,I8/I52)</f>
        <v>0.81382978723404253</v>
      </c>
      <c r="J108" s="39">
        <f>IF(J52=0,0,J8/J52)</f>
        <v>0.80054644808743169</v>
      </c>
      <c r="K108" s="39">
        <f>IF(K52=0,0,K8/K52)</f>
        <v>0.86994219653179194</v>
      </c>
      <c r="L108" s="39">
        <f>IF(L52=0,0,L8/L52)</f>
        <v>0.9</v>
      </c>
      <c r="M108" s="39">
        <f>IF(M52=0,0,M8/M52)</f>
        <v>0.91648822269807284</v>
      </c>
      <c r="N108" s="40">
        <f>IF(N52=0,0,N8/N52)</f>
        <v>0.87389867841409696</v>
      </c>
    </row>
    <row r="109" spans="1:14" x14ac:dyDescent="0.2">
      <c r="A109" s="1" t="s">
        <v>31</v>
      </c>
      <c r="B109" s="39">
        <f>IF(B53=0,0,B9/B53)</f>
        <v>1</v>
      </c>
      <c r="C109" s="39">
        <f>IF(C53=0,0,C9/C53)</f>
        <v>1</v>
      </c>
      <c r="D109" s="39">
        <f>IF(D53=0,0,D9/D53)</f>
        <v>1</v>
      </c>
      <c r="E109" s="39">
        <f>IF(E53=0,0,E9/E53)</f>
        <v>1</v>
      </c>
      <c r="F109" s="39">
        <f>IF(F53=0,0,F9/F53)</f>
        <v>1</v>
      </c>
      <c r="G109" s="39">
        <f>IF(G53=0,0,G9/G53)</f>
        <v>1</v>
      </c>
      <c r="H109" s="39">
        <f>IF(H53=0,0,H9/H53)</f>
        <v>1</v>
      </c>
      <c r="I109" s="39">
        <f>IF(I53=0,0,I9/I53)</f>
        <v>1</v>
      </c>
      <c r="J109" s="39">
        <f>IF(J53=0,0,J9/J53)</f>
        <v>1</v>
      </c>
      <c r="K109" s="39">
        <f>IF(K53=0,0,K9/K53)</f>
        <v>1</v>
      </c>
      <c r="L109" s="39">
        <f>IF(L53=0,0,L9/L53)</f>
        <v>0.99456521739130432</v>
      </c>
      <c r="M109" s="39">
        <f>IF(M53=0,0,M9/M53)</f>
        <v>1</v>
      </c>
      <c r="N109" s="40">
        <f>IF(N53=0,0,N9/N53)</f>
        <v>0.99958263772954925</v>
      </c>
    </row>
    <row r="110" spans="1:14" x14ac:dyDescent="0.2">
      <c r="A110" s="1" t="s">
        <v>29</v>
      </c>
      <c r="B110" s="39">
        <f>IF(B54=0,0,B10/B54)</f>
        <v>1</v>
      </c>
      <c r="C110" s="39">
        <f>IF(C54=0,0,C10/C54)</f>
        <v>1</v>
      </c>
      <c r="D110" s="39">
        <f>IF(D54=0,0,D10/D54)</f>
        <v>1</v>
      </c>
      <c r="E110" s="39">
        <f>IF(E54=0,0,E10/E54)</f>
        <v>1</v>
      </c>
      <c r="F110" s="39">
        <f>IF(F54=0,0,F10/F54)</f>
        <v>0.99874529485570895</v>
      </c>
      <c r="G110" s="39">
        <f>IF(G54=0,0,G10/G54)</f>
        <v>1</v>
      </c>
      <c r="H110" s="39">
        <f>IF(H54=0,0,H10/H54)</f>
        <v>1</v>
      </c>
      <c r="I110" s="39">
        <f>IF(I54=0,0,I10/I54)</f>
        <v>0.99849849849849848</v>
      </c>
      <c r="J110" s="39">
        <f>IF(J54=0,0,J10/J54)</f>
        <v>1</v>
      </c>
      <c r="K110" s="39">
        <f>IF(K54=0,0,K10/K54)</f>
        <v>1</v>
      </c>
      <c r="L110" s="39">
        <f>IF(L54=0,0,L10/L54)</f>
        <v>1</v>
      </c>
      <c r="M110" s="39">
        <f>IF(M54=0,0,M10/M54)</f>
        <v>1</v>
      </c>
      <c r="N110" s="40">
        <f>IF(N54=0,0,N10/N54)</f>
        <v>0.99980950566720639</v>
      </c>
    </row>
    <row r="111" spans="1:14" x14ac:dyDescent="0.2">
      <c r="A111" s="1" t="s">
        <v>28</v>
      </c>
      <c r="B111" s="39">
        <f>IF(B55=0,0,B11/B55)</f>
        <v>0.89032258064516134</v>
      </c>
      <c r="C111" s="39">
        <f>IF(C55=0,0,C11/C55)</f>
        <v>0.75714285714285712</v>
      </c>
      <c r="D111" s="39">
        <f>IF(D55=0,0,D11/D55)</f>
        <v>0.4838709677419355</v>
      </c>
      <c r="E111" s="39">
        <f>IF(E55=0,0,E11/E55)</f>
        <v>0.94117647058823528</v>
      </c>
      <c r="F111" s="39">
        <f>IF(F55=0,0,F11/F55)</f>
        <v>0.96815286624203822</v>
      </c>
      <c r="G111" s="39">
        <f>IF(G55=0,0,G11/G55)</f>
        <v>0.92307692307692313</v>
      </c>
      <c r="H111" s="39">
        <f>IF(H55=0,0,H11/H55)</f>
        <v>0.97435897435897434</v>
      </c>
      <c r="I111" s="39">
        <f>IF(I55=0,0,I11/I55)</f>
        <v>0.96226415094339623</v>
      </c>
      <c r="J111" s="39">
        <f>IF(J55=0,0,J11/J55)</f>
        <v>0.98039215686274506</v>
      </c>
      <c r="K111" s="39">
        <f>IF(K55=0,0,K11/K55)</f>
        <v>0.97435897435897434</v>
      </c>
      <c r="L111" s="39">
        <f>IF(L55=0,0,L11/L55)</f>
        <v>0.98013245033112584</v>
      </c>
      <c r="M111" s="39">
        <f>IF(M55=0,0,M11/M55)</f>
        <v>0.87755102040816324</v>
      </c>
      <c r="N111" s="40">
        <f>IF(N55=0,0,N11/N55)</f>
        <v>0.89390642002176279</v>
      </c>
    </row>
    <row r="112" spans="1:14" ht="12" thickBot="1" x14ac:dyDescent="0.25">
      <c r="A112" s="1" t="s">
        <v>30</v>
      </c>
      <c r="B112" s="39">
        <f>IF(B56=0,0,B12/B56)</f>
        <v>0.98353909465020573</v>
      </c>
      <c r="C112" s="39">
        <f>IF(C56=0,0,C12/C56)</f>
        <v>1</v>
      </c>
      <c r="D112" s="39">
        <f>IF(D56=0,0,D12/D56)</f>
        <v>0.99609375</v>
      </c>
      <c r="E112" s="39">
        <f>IF(E56=0,0,E12/E56)</f>
        <v>1</v>
      </c>
      <c r="F112" s="39">
        <f>IF(F56=0,0,F12/F56)</f>
        <v>1</v>
      </c>
      <c r="G112" s="39">
        <f>IF(G56=0,0,G12/G56)</f>
        <v>1</v>
      </c>
      <c r="H112" s="39">
        <f>IF(H56=0,0,H12/H56)</f>
        <v>1</v>
      </c>
      <c r="I112" s="39">
        <f>IF(I56=0,0,I12/I56)</f>
        <v>1</v>
      </c>
      <c r="J112" s="39">
        <f>IF(J56=0,0,J12/J56)</f>
        <v>0.99757869249394671</v>
      </c>
      <c r="K112" s="39">
        <f>IF(K56=0,0,K12/K56)</f>
        <v>1</v>
      </c>
      <c r="L112" s="39">
        <f>IF(L56=0,0,L12/L56)</f>
        <v>0.99113082039911304</v>
      </c>
      <c r="M112" s="39">
        <f>IF(M56=0,0,M12/M56)</f>
        <v>0.97987927565392352</v>
      </c>
      <c r="N112" s="40">
        <f>IF(N56=0,0,N12/N56)</f>
        <v>0.99558206317649656</v>
      </c>
    </row>
    <row r="113" spans="1:14" ht="20.25" thickTop="1" thickBot="1" x14ac:dyDescent="0.25">
      <c r="A113" s="43" t="s">
        <v>143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1:14" ht="12" thickTop="1" x14ac:dyDescent="0.2">
      <c r="A114" s="1" t="s">
        <v>133</v>
      </c>
      <c r="B114" s="1" t="s">
        <v>3</v>
      </c>
      <c r="C114" s="1" t="s">
        <v>4</v>
      </c>
      <c r="D114" s="1" t="s">
        <v>5</v>
      </c>
      <c r="E114" s="1" t="s">
        <v>6</v>
      </c>
      <c r="F114" s="1" t="s">
        <v>7</v>
      </c>
      <c r="G114" s="1" t="s">
        <v>8</v>
      </c>
      <c r="H114" s="1" t="s">
        <v>9</v>
      </c>
      <c r="I114" s="1" t="s">
        <v>10</v>
      </c>
      <c r="J114" s="1" t="s">
        <v>11</v>
      </c>
      <c r="K114" s="1" t="s">
        <v>12</v>
      </c>
      <c r="L114" s="1" t="s">
        <v>13</v>
      </c>
      <c r="M114" s="1" t="s">
        <v>14</v>
      </c>
      <c r="N114" s="2" t="s">
        <v>15</v>
      </c>
    </row>
    <row r="115" spans="1:14" x14ac:dyDescent="0.2">
      <c r="A115" s="1" t="s">
        <v>37</v>
      </c>
      <c r="B115" s="41">
        <f>IF(B48=0,0,B15*B$1/B48)</f>
        <v>3.0756806645131518</v>
      </c>
      <c r="C115" s="41">
        <f>IF(C48=0,0,C15*C$1/C48)</f>
        <v>3.077691731201599</v>
      </c>
      <c r="D115" s="41">
        <f>IF(D48=0,0,D15*D$1/D48)</f>
        <v>3.5264362554360265</v>
      </c>
      <c r="E115" s="41">
        <f>IF(E48=0,0,E15*E$1/E48)</f>
        <v>3.2587653258765328</v>
      </c>
      <c r="F115" s="41">
        <f>IF(F48=0,0,F15*F$1/F48)</f>
        <v>3.672069825436409</v>
      </c>
      <c r="G115" s="41">
        <f>IF(G48=0,0,G15*G$1/G48)</f>
        <v>3.879026955950033</v>
      </c>
      <c r="H115" s="41">
        <f>IF(H48=0,0,H15*H$1/H48)</f>
        <v>3.6697819314641746</v>
      </c>
      <c r="I115" s="41">
        <f>IF(I48=0,0,I15*I$1/I48)</f>
        <v>3.5263992748697031</v>
      </c>
      <c r="J115" s="41">
        <f>IF(J48=0,0,J15*J$1/J48)</f>
        <v>3.1795751984552671</v>
      </c>
      <c r="K115" s="41">
        <f>IF(K48=0,0,K15*K$1/K48)</f>
        <v>3.1129215611974232</v>
      </c>
      <c r="L115" s="41">
        <f>IF(L48=0,0,L15*L$1/L48)</f>
        <v>2.7219051367840974</v>
      </c>
      <c r="M115" s="41">
        <f>IF(M48=0,0,M15*M$1/M48)</f>
        <v>3.3898475120385232</v>
      </c>
      <c r="N115" s="42">
        <f>IF(N48=0,0,N15*N$1/N48)</f>
        <v>40.007683785425826</v>
      </c>
    </row>
    <row r="116" spans="1:14" x14ac:dyDescent="0.2">
      <c r="A116" s="1" t="s">
        <v>32</v>
      </c>
      <c r="B116" s="41">
        <f>IF(B49=0,0,B16*B$1/B49)</f>
        <v>3.8080072793448592</v>
      </c>
      <c r="C116" s="41">
        <f>IF(C49=0,0,C16*C$1/C49)</f>
        <v>3.2638036809815949</v>
      </c>
      <c r="D116" s="41">
        <f>IF(D49=0,0,D16*D$1/D49)</f>
        <v>3.0126336248785228</v>
      </c>
      <c r="E116" s="41">
        <f>IF(E49=0,0,E16*E$1/E49)</f>
        <v>2.9289099526066349</v>
      </c>
      <c r="F116" s="41">
        <f>IF(F49=0,0,F16*F$1/F49)</f>
        <v>2.75</v>
      </c>
      <c r="G116" s="41">
        <f>IF(G49=0,0,G16*G$1/G49)</f>
        <v>2.7726432532347505</v>
      </c>
      <c r="H116" s="41">
        <f>IF(H49=0,0,H16*H$1/H49)</f>
        <v>3.4960352422907488</v>
      </c>
      <c r="I116" s="41">
        <f>IF(I49=0,0,I16*I$1/I49)</f>
        <v>3.3204320432043204</v>
      </c>
      <c r="J116" s="41">
        <f>IF(J49=0,0,J16*J$1/J49)</f>
        <v>3.0136986301369864</v>
      </c>
      <c r="K116" s="41">
        <f>IF(K49=0,0,K16*K$1/K49)</f>
        <v>3.7014925373134329</v>
      </c>
      <c r="L116" s="41">
        <f>IF(L49=0,0,L16*L$1/L49)</f>
        <v>3.0462375339981866</v>
      </c>
      <c r="M116" s="41">
        <f>IF(M49=0,0,M16*M$1/M49)</f>
        <v>3.4143356643356642</v>
      </c>
      <c r="N116" s="42">
        <f>IF(N49=0,0,N16*N$1/N49)</f>
        <v>38.547302460644964</v>
      </c>
    </row>
    <row r="117" spans="1:14" x14ac:dyDescent="0.2">
      <c r="A117" s="1" t="s">
        <v>33</v>
      </c>
      <c r="B117" s="41">
        <f>IF(B50=0,0,B17*B$1/B50)</f>
        <v>2.4394341290893014</v>
      </c>
      <c r="C117" s="41">
        <f>IF(C50=0,0,C17*C$1/C50)</f>
        <v>3.127049180327869</v>
      </c>
      <c r="D117" s="41">
        <f>IF(D50=0,0,D17*D$1/D50)</f>
        <v>4.4896551724137934</v>
      </c>
      <c r="E117" s="41">
        <f>IF(E50=0,0,E17*E$1/E50)</f>
        <v>4.3140964995269631</v>
      </c>
      <c r="F117" s="41">
        <f>IF(F50=0,0,F17*F$1/F50)</f>
        <v>4.3318777292576423</v>
      </c>
      <c r="G117" s="41">
        <f>IF(G50=0,0,G17*G$1/G50)</f>
        <v>5</v>
      </c>
      <c r="H117" s="41">
        <f>IF(H50=0,0,H17*H$1/H50)</f>
        <v>3.8241469816272966</v>
      </c>
      <c r="I117" s="41">
        <f>IF(I50=0,0,I17*I$1/I50)</f>
        <v>3.5381913959613698</v>
      </c>
      <c r="J117" s="41">
        <f>IF(J50=0,0,J17*J$1/J50)</f>
        <v>3.7093862815884475</v>
      </c>
      <c r="K117" s="41">
        <f>IF(K50=0,0,K17*K$1/K50)</f>
        <v>3.9729729729729728</v>
      </c>
      <c r="L117" s="41">
        <f>IF(L50=0,0,L17*L$1/L50)</f>
        <v>2.8648648648648649</v>
      </c>
      <c r="M117" s="41">
        <f>IF(M50=0,0,M17*M$1/M50)</f>
        <v>3.5591586327782645</v>
      </c>
      <c r="N117" s="42">
        <f>IF(N50=0,0,N17*N$1/N50)</f>
        <v>45.107396762970808</v>
      </c>
    </row>
    <row r="118" spans="1:14" x14ac:dyDescent="0.2">
      <c r="A118" s="1" t="s">
        <v>34</v>
      </c>
      <c r="B118" s="41">
        <f>IF(B51=0,0,B18*B$1/B51)</f>
        <v>1.7876802096985582</v>
      </c>
      <c r="C118" s="41">
        <f>IF(C51=0,0,C18*C$1/C51)</f>
        <v>1.637660485021398</v>
      </c>
      <c r="D118" s="41">
        <f>IF(D51=0,0,D18*D$1/D51)</f>
        <v>1.9296346414073071</v>
      </c>
      <c r="E118" s="41">
        <f>IF(E51=0,0,E18*E$1/E51)</f>
        <v>1.8351063829787233</v>
      </c>
      <c r="F118" s="41">
        <f>IF(F51=0,0,F18*F$1/F51)</f>
        <v>3.7804878048780486</v>
      </c>
      <c r="G118" s="41">
        <f>IF(G51=0,0,G18*G$1/G51)</f>
        <v>3.4857849196538937</v>
      </c>
      <c r="H118" s="41">
        <f>IF(H51=0,0,H18*H$1/H51)</f>
        <v>2.79</v>
      </c>
      <c r="I118" s="41">
        <f>IF(I51=0,0,I18*I$1/I51)</f>
        <v>3.0655555555555556</v>
      </c>
      <c r="J118" s="41">
        <f>IF(J51=0,0,J18*J$1/J51)</f>
        <v>1.7566016073478761</v>
      </c>
      <c r="K118" s="41">
        <f>IF(K51=0,0,K18*K$1/K51)</f>
        <v>1.6206896551724137</v>
      </c>
      <c r="L118" s="41">
        <f>IF(L51=0,0,L18*L$1/L51)</f>
        <v>1.823394495412844</v>
      </c>
      <c r="M118" s="41">
        <f>IF(M51=0,0,M18*M$1/M51)</f>
        <v>2.6882546652030737</v>
      </c>
      <c r="N118" s="42">
        <f>IF(N51=0,0,N18*N$1/N51)</f>
        <v>28.252829426030718</v>
      </c>
    </row>
    <row r="119" spans="1:14" x14ac:dyDescent="0.2">
      <c r="A119" s="1" t="s">
        <v>35</v>
      </c>
      <c r="B119" s="41">
        <f>IF(B52=0,0,B19*B$1/B52)</f>
        <v>4.1098484848484844</v>
      </c>
      <c r="C119" s="41">
        <f>IF(C52=0,0,C19*C$1/C52)</f>
        <v>3.3529411764705883</v>
      </c>
      <c r="D119" s="41">
        <f>IF(D52=0,0,D19*D$1/D52)</f>
        <v>2.2352941176470589</v>
      </c>
      <c r="E119" s="41">
        <f>IF(E52=0,0,E19*E$1/E52)</f>
        <v>2.8823529411764706</v>
      </c>
      <c r="F119" s="41">
        <f>IF(F52=0,0,F19*F$1/F52)</f>
        <v>3.875</v>
      </c>
      <c r="G119" s="41">
        <f>IF(G52=0,0,G19*G$1/G52)</f>
        <v>3.1764705882352939</v>
      </c>
      <c r="H119" s="41">
        <f>IF(H52=0,0,H19*H$1/H52)</f>
        <v>3.5227272727272729</v>
      </c>
      <c r="I119" s="41">
        <f>IF(I52=0,0,I19*I$1/I52)</f>
        <v>3.2978723404255321</v>
      </c>
      <c r="J119" s="41">
        <f>IF(J52=0,0,J19*J$1/J52)</f>
        <v>2.7868852459016393</v>
      </c>
      <c r="K119" s="41">
        <f>IF(K52=0,0,K19*K$1/K52)</f>
        <v>3.3150289017341041</v>
      </c>
      <c r="L119" s="41">
        <f>IF(L52=0,0,L19*L$1/L52)</f>
        <v>2</v>
      </c>
      <c r="M119" s="41">
        <f>IF(M52=0,0,M19*M$1/M52)</f>
        <v>2.7880085653104927</v>
      </c>
      <c r="N119" s="42">
        <f>IF(N52=0,0,N19*N$1/N52)</f>
        <v>37.786343612334804</v>
      </c>
    </row>
    <row r="120" spans="1:14" x14ac:dyDescent="0.2">
      <c r="A120" s="1" t="s">
        <v>31</v>
      </c>
      <c r="B120" s="41">
        <f>IF(B53=0,0,B20*B$1/B53)</f>
        <v>19.052083333333332</v>
      </c>
      <c r="C120" s="41">
        <f>IF(C53=0,0,C20*C$1/C53)</f>
        <v>18.531400966183575</v>
      </c>
      <c r="D120" s="41">
        <f>IF(D53=0,0,D20*D$1/D53)</f>
        <v>21.026086956521738</v>
      </c>
      <c r="E120" s="41">
        <f>IF(E53=0,0,E20*E$1/E53)</f>
        <v>24</v>
      </c>
      <c r="F120" s="41">
        <f>IF(F53=0,0,F20*F$1/F53)</f>
        <v>19.802281368821294</v>
      </c>
      <c r="G120" s="41">
        <f>IF(G53=0,0,G20*G$1/G53)</f>
        <v>19.955357142857142</v>
      </c>
      <c r="H120" s="41">
        <f>IF(H53=0,0,H20*H$1/H53)</f>
        <v>27.045918367346939</v>
      </c>
      <c r="I120" s="41">
        <f>IF(I53=0,0,I20*I$1/I53)</f>
        <v>24.606249999999999</v>
      </c>
      <c r="J120" s="41">
        <f>IF(J53=0,0,J20*J$1/J53)</f>
        <v>23.333333333333332</v>
      </c>
      <c r="K120" s="41">
        <f>IF(K53=0,0,K20*K$1/K53)</f>
        <v>21.373684210526317</v>
      </c>
      <c r="L120" s="41">
        <f>IF(L53=0,0,L20*L$1/L53)</f>
        <v>20.217391304347824</v>
      </c>
      <c r="M120" s="41">
        <f>IF(M53=0,0,M20*M$1/M53)</f>
        <v>24.2</v>
      </c>
      <c r="N120" s="42">
        <f>IF(N53=0,0,N20*N$1/N53)</f>
        <v>261.10601001669448</v>
      </c>
    </row>
    <row r="121" spans="1:14" x14ac:dyDescent="0.2">
      <c r="A121" s="1" t="s">
        <v>29</v>
      </c>
      <c r="B121" s="41">
        <f>IF(B54=0,0,B21*B$1/B54)</f>
        <v>6.6487935656836461</v>
      </c>
      <c r="C121" s="41">
        <f>IF(C54=0,0,C21*C$1/C54)</f>
        <v>5.7727910238429176</v>
      </c>
      <c r="D121" s="41">
        <f>IF(D54=0,0,D21*D$1/D54)</f>
        <v>7.3809523809523814</v>
      </c>
      <c r="E121" s="41">
        <f>IF(E54=0,0,E21*E$1/E54)</f>
        <v>6.2131979695431472</v>
      </c>
      <c r="F121" s="41">
        <f>IF(F54=0,0,F21*F$1/F54)</f>
        <v>9.3350062735257211</v>
      </c>
      <c r="G121" s="41">
        <f>IF(G54=0,0,G21*G$1/G54)</f>
        <v>11.765557163531115</v>
      </c>
      <c r="H121" s="41">
        <f>IF(H54=0,0,H21*H$1/H54)</f>
        <v>9.7320703653585934</v>
      </c>
      <c r="I121" s="41">
        <f>IF(I54=0,0,I21*I$1/I54)</f>
        <v>10.891891891891891</v>
      </c>
      <c r="J121" s="41">
        <f>IF(J54=0,0,J21*J$1/J54)</f>
        <v>5.7076566125290027</v>
      </c>
      <c r="K121" s="41">
        <f>IF(K54=0,0,K21*K$1/K54)</f>
        <v>4.0810126582278485</v>
      </c>
      <c r="L121" s="41">
        <f>IF(L54=0,0,L21*L$1/L54)</f>
        <v>4.3183742591024554</v>
      </c>
      <c r="M121" s="41">
        <f>IF(M54=0,0,M21*M$1/M54)</f>
        <v>6.5614349775784753</v>
      </c>
      <c r="N121" s="42">
        <f>IF(N54=0,0,N21*N$1/N54)</f>
        <v>83.749404705210026</v>
      </c>
    </row>
    <row r="122" spans="1:14" x14ac:dyDescent="0.2">
      <c r="A122" s="1" t="s">
        <v>28</v>
      </c>
      <c r="B122" s="41">
        <f>IF(B55=0,0,B22*B$1/B55)</f>
        <v>2.4</v>
      </c>
      <c r="C122" s="41">
        <f>IF(C55=0,0,C22*C$1/C55)</f>
        <v>1.8</v>
      </c>
      <c r="D122" s="41">
        <f>IF(D55=0,0,D22*D$1/D55)</f>
        <v>3.2</v>
      </c>
      <c r="E122" s="41">
        <f>IF(E55=0,0,E22*E$1/E55)</f>
        <v>6.0784313725490193</v>
      </c>
      <c r="F122" s="41">
        <f>IF(F55=0,0,F22*F$1/F55)</f>
        <v>4.5414012738853504</v>
      </c>
      <c r="G122" s="41">
        <f>IF(G55=0,0,G22*G$1/G55)</f>
        <v>7.115384615384615</v>
      </c>
      <c r="H122" s="41">
        <f>IF(H55=0,0,H22*H$1/H55)</f>
        <v>4.5705128205128203</v>
      </c>
      <c r="I122" s="41">
        <f>IF(I55=0,0,I22*I$1/I55)</f>
        <v>3.89937106918239</v>
      </c>
      <c r="J122" s="41">
        <f>IF(J55=0,0,J22*J$1/J55)</f>
        <v>2.3529411764705883</v>
      </c>
      <c r="K122" s="41">
        <f>IF(K55=0,0,K22*K$1/K55)</f>
        <v>4.1730769230769234</v>
      </c>
      <c r="L122" s="41">
        <f>IF(L55=0,0,L22*L$1/L55)</f>
        <v>2.7814569536423841</v>
      </c>
      <c r="M122" s="41">
        <f>IF(M55=0,0,M22*M$1/M55)</f>
        <v>3.795918367346939</v>
      </c>
      <c r="N122" s="42">
        <f>IF(N55=0,0,N22*N$1/N55)</f>
        <v>46.866158868335148</v>
      </c>
    </row>
    <row r="123" spans="1:14" x14ac:dyDescent="0.2">
      <c r="A123" s="1" t="s">
        <v>30</v>
      </c>
      <c r="B123" s="41">
        <f>IF(B56=0,0,B23*B$1/B56)</f>
        <v>20.666666666666668</v>
      </c>
      <c r="C123" s="41">
        <f>IF(C56=0,0,C23*C$1/C56)</f>
        <v>15.729083665338646</v>
      </c>
      <c r="D123" s="41">
        <f>IF(D56=0,0,D23*D$1/D56)</f>
        <v>17.80078125</v>
      </c>
      <c r="E123" s="41">
        <f>IF(E56=0,0,E23*E$1/E56)</f>
        <v>19.117647058823529</v>
      </c>
      <c r="F123" s="41">
        <f>IF(F56=0,0,F23*F$1/F56)</f>
        <v>20.961139896373059</v>
      </c>
      <c r="G123" s="41">
        <f>IF(G56=0,0,G23*G$1/G56)</f>
        <v>22.901408450704224</v>
      </c>
      <c r="H123" s="41">
        <f>IF(H56=0,0,H23*H$1/H56)</f>
        <v>17.861904761904761</v>
      </c>
      <c r="I123" s="41">
        <f>IF(I56=0,0,I23*I$1/I56)</f>
        <v>18.021333333333335</v>
      </c>
      <c r="J123" s="41">
        <f>IF(J56=0,0,J23*J$1/J56)</f>
        <v>15.980629539951574</v>
      </c>
      <c r="K123" s="41">
        <f>IF(K56=0,0,K23*K$1/K56)</f>
        <v>13.123693379790941</v>
      </c>
      <c r="L123" s="41">
        <f>IF(L56=0,0,L23*L$1/L56)</f>
        <v>13.636363636363637</v>
      </c>
      <c r="M123" s="41">
        <f>IF(M56=0,0,M23*M$1/M56)</f>
        <v>15.593561368209256</v>
      </c>
      <c r="N123" s="42">
        <f>IF(N56=0,0,N23*N$1/N56)</f>
        <v>206.00287165893528</v>
      </c>
    </row>
  </sheetData>
  <mergeCells count="11">
    <mergeCell ref="A46:N46"/>
    <mergeCell ref="A2:N2"/>
    <mergeCell ref="A13:N13"/>
    <mergeCell ref="A24:N24"/>
    <mergeCell ref="A35:N35"/>
    <mergeCell ref="A57:N57"/>
    <mergeCell ref="A69:N69"/>
    <mergeCell ref="A80:N80"/>
    <mergeCell ref="A91:N91"/>
    <mergeCell ref="A102:N102"/>
    <mergeCell ref="A113:N113"/>
  </mergeCells>
  <pageMargins left="0.511811024" right="0.511811024" top="0.78740157499999996" bottom="0.78740157499999996" header="0.31496062000000002" footer="0.31496062000000002"/>
  <pageSetup paperSize="9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N1"/>
    </sheetView>
  </sheetViews>
  <sheetFormatPr defaultRowHeight="11.25" x14ac:dyDescent="0.2"/>
  <cols>
    <col min="1" max="1" width="43.42578125" style="1" bestFit="1" customWidth="1"/>
    <col min="2" max="14" width="8.5703125" style="1" customWidth="1"/>
    <col min="15" max="16384" width="9.140625" style="1"/>
  </cols>
  <sheetData>
    <row r="1" spans="1:14" ht="18.75" x14ac:dyDescent="0.3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5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2" t="s">
        <v>15</v>
      </c>
    </row>
    <row r="4" spans="1:14" x14ac:dyDescent="0.2">
      <c r="A4" s="1" t="s">
        <v>16</v>
      </c>
      <c r="B4" s="3">
        <v>2993</v>
      </c>
      <c r="C4" s="3">
        <v>1746</v>
      </c>
      <c r="D4" s="3">
        <v>2445</v>
      </c>
      <c r="E4" s="3">
        <v>2250</v>
      </c>
      <c r="F4" s="3">
        <v>3399</v>
      </c>
      <c r="G4" s="3">
        <v>2809</v>
      </c>
      <c r="H4" s="3">
        <v>4710</v>
      </c>
      <c r="I4" s="3">
        <v>3945</v>
      </c>
      <c r="J4" s="3">
        <v>4004</v>
      </c>
      <c r="K4" s="3">
        <v>2768</v>
      </c>
      <c r="L4" s="3">
        <v>2604</v>
      </c>
      <c r="M4" s="3">
        <v>3145</v>
      </c>
      <c r="N4" s="4">
        <f>SUM(PC_5[[#This Row],[JAN]:[DEZ]])</f>
        <v>36818</v>
      </c>
    </row>
    <row r="5" spans="1:14" x14ac:dyDescent="0.2">
      <c r="A5" s="1" t="s">
        <v>17</v>
      </c>
      <c r="B5" s="3">
        <v>598</v>
      </c>
      <c r="C5" s="3">
        <v>1340</v>
      </c>
      <c r="D5" s="3">
        <v>2443</v>
      </c>
      <c r="E5" s="3">
        <v>2497</v>
      </c>
      <c r="F5" s="3">
        <v>2324</v>
      </c>
      <c r="G5" s="3">
        <v>2692</v>
      </c>
      <c r="H5" s="3">
        <v>2823</v>
      </c>
      <c r="I5" s="3">
        <v>3160</v>
      </c>
      <c r="J5" s="3">
        <v>2645</v>
      </c>
      <c r="K5" s="3">
        <v>2661</v>
      </c>
      <c r="L5" s="3">
        <v>2426</v>
      </c>
      <c r="M5" s="3">
        <v>2326</v>
      </c>
      <c r="N5" s="4">
        <f>SUM(PC_5[[#This Row],[JAN]:[DEZ]])</f>
        <v>27935</v>
      </c>
    </row>
    <row r="6" spans="1:14" x14ac:dyDescent="0.2">
      <c r="A6" s="1" t="s">
        <v>18</v>
      </c>
      <c r="B6" s="3">
        <v>0</v>
      </c>
      <c r="C6" s="3">
        <v>15</v>
      </c>
      <c r="D6" s="3">
        <v>18</v>
      </c>
      <c r="E6" s="3">
        <v>16</v>
      </c>
      <c r="F6" s="3">
        <v>15</v>
      </c>
      <c r="G6" s="3">
        <v>14</v>
      </c>
      <c r="H6" s="3">
        <v>824</v>
      </c>
      <c r="I6" s="3">
        <v>726</v>
      </c>
      <c r="J6" s="3">
        <v>14</v>
      </c>
      <c r="K6" s="3">
        <v>445</v>
      </c>
      <c r="L6" s="3">
        <v>781</v>
      </c>
      <c r="M6" s="3">
        <v>793</v>
      </c>
      <c r="N6" s="4">
        <f>SUM(PC_5[[#This Row],[JAN]:[DEZ]])</f>
        <v>3661</v>
      </c>
    </row>
    <row r="7" spans="1:14" x14ac:dyDescent="0.2">
      <c r="B7" s="3">
        <f>SUBTOTAL(109,PC_5[JAN])</f>
        <v>3591</v>
      </c>
      <c r="C7" s="3">
        <f>SUBTOTAL(109,PC_5[FEV])</f>
        <v>3101</v>
      </c>
      <c r="D7" s="3">
        <f>SUBTOTAL(109,PC_5[MAR])</f>
        <v>4906</v>
      </c>
      <c r="E7" s="3">
        <f>SUBTOTAL(109,PC_5[ABR])</f>
        <v>4763</v>
      </c>
      <c r="F7" s="3">
        <f>SUBTOTAL(109,PC_5[MAI])</f>
        <v>5738</v>
      </c>
      <c r="G7" s="3">
        <f>SUBTOTAL(109,PC_5[JUN])</f>
        <v>5515</v>
      </c>
      <c r="H7" s="3">
        <f>SUBTOTAL(109,PC_5[JUL])</f>
        <v>8357</v>
      </c>
      <c r="I7" s="3">
        <f>SUBTOTAL(109,PC_5[AGO])</f>
        <v>7831</v>
      </c>
      <c r="J7" s="3">
        <f>SUBTOTAL(109,PC_5[SET])</f>
        <v>6663</v>
      </c>
      <c r="K7" s="3">
        <f>SUBTOTAL(109,PC_5[OUT])</f>
        <v>5874</v>
      </c>
      <c r="L7" s="3">
        <f>SUBTOTAL(109,PC_5[NOV])</f>
        <v>5811</v>
      </c>
      <c r="M7" s="3">
        <f>SUBTOTAL(109,PC_5[DEZ])</f>
        <v>6264</v>
      </c>
      <c r="N7" s="5">
        <f>SUBTOTAL(109,PC_5[2015])</f>
        <v>68414</v>
      </c>
    </row>
    <row r="8" spans="1:14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/>
    </row>
    <row r="9" spans="1:14" ht="18.75" x14ac:dyDescent="0.3">
      <c r="A9" s="45" t="s">
        <v>19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14" ht="15" x14ac:dyDescent="0.25">
      <c r="A10" s="48" t="s">
        <v>20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1:14" x14ac:dyDescent="0.2">
      <c r="A11" s="1" t="s">
        <v>21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13</v>
      </c>
      <c r="M11" s="1" t="s">
        <v>14</v>
      </c>
      <c r="N11" s="1" t="s">
        <v>15</v>
      </c>
    </row>
    <row r="12" spans="1:14" x14ac:dyDescent="0.2">
      <c r="A12" s="1" t="s">
        <v>22</v>
      </c>
      <c r="B12" s="3">
        <v>454</v>
      </c>
      <c r="C12" s="3">
        <v>434</v>
      </c>
      <c r="D12" s="3">
        <v>511</v>
      </c>
      <c r="E12" s="3">
        <v>499</v>
      </c>
      <c r="F12" s="3">
        <v>569</v>
      </c>
      <c r="G12" s="3">
        <v>632</v>
      </c>
      <c r="H12" s="3">
        <v>517</v>
      </c>
      <c r="I12" s="3">
        <v>518</v>
      </c>
      <c r="J12" s="3">
        <v>506</v>
      </c>
      <c r="K12" s="3">
        <v>534</v>
      </c>
      <c r="L12" s="3">
        <v>481</v>
      </c>
      <c r="M12" s="3">
        <v>497</v>
      </c>
      <c r="N12" s="4">
        <f>SUM(AIH_6[[JAN]:[DEZ]])</f>
        <v>6152</v>
      </c>
    </row>
    <row r="14" spans="1:14" ht="18.75" x14ac:dyDescent="0.3">
      <c r="A14" s="45" t="s">
        <v>23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1:14" ht="15" x14ac:dyDescent="0.25">
      <c r="A15" s="48" t="s">
        <v>24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x14ac:dyDescent="0.2">
      <c r="A16" s="1" t="s">
        <v>25</v>
      </c>
      <c r="B16" s="1" t="s">
        <v>3</v>
      </c>
      <c r="C16" s="1" t="s">
        <v>4</v>
      </c>
      <c r="D16" s="1" t="s">
        <v>5</v>
      </c>
      <c r="E16" s="1" t="s">
        <v>6</v>
      </c>
      <c r="F16" s="1" t="s">
        <v>7</v>
      </c>
      <c r="G16" s="1" t="s">
        <v>8</v>
      </c>
      <c r="H16" s="1" t="s">
        <v>9</v>
      </c>
      <c r="I16" s="1" t="s">
        <v>10</v>
      </c>
      <c r="J16" s="1" t="s">
        <v>11</v>
      </c>
      <c r="K16" s="1" t="s">
        <v>12</v>
      </c>
      <c r="L16" s="1" t="s">
        <v>13</v>
      </c>
      <c r="M16" s="1" t="s">
        <v>14</v>
      </c>
      <c r="N16" s="1" t="s">
        <v>15</v>
      </c>
    </row>
    <row r="17" spans="1:14" x14ac:dyDescent="0.2">
      <c r="A17" s="1" t="s">
        <v>26</v>
      </c>
      <c r="B17" s="3">
        <v>4045</v>
      </c>
      <c r="C17" s="3">
        <v>3535</v>
      </c>
      <c r="D17" s="3">
        <v>5417</v>
      </c>
      <c r="E17" s="3">
        <v>5262</v>
      </c>
      <c r="F17" s="3">
        <v>6307</v>
      </c>
      <c r="G17" s="3">
        <v>6147</v>
      </c>
      <c r="H17" s="3">
        <v>8874</v>
      </c>
      <c r="I17" s="3">
        <v>8349</v>
      </c>
      <c r="J17" s="3">
        <v>7169</v>
      </c>
      <c r="K17" s="3">
        <v>6408</v>
      </c>
      <c r="L17" s="3">
        <f>SUM(L12,L7)</f>
        <v>6292</v>
      </c>
      <c r="M17" s="3">
        <f>SUM(M12,M7)</f>
        <v>6761</v>
      </c>
      <c r="N17" s="4">
        <f>SUM(AT_7[[JAN]:[DEZ]])</f>
        <v>74566</v>
      </c>
    </row>
  </sheetData>
  <mergeCells count="6">
    <mergeCell ref="A14:N14"/>
    <mergeCell ref="A10:N10"/>
    <mergeCell ref="A15:N15"/>
    <mergeCell ref="A1:N1"/>
    <mergeCell ref="A2:N2"/>
    <mergeCell ref="A9:N9"/>
  </mergeCells>
  <pageMargins left="0.511811024" right="0.511811024" top="0.78740157499999996" bottom="0.78740157499999996" header="0.31496062000000002" footer="0.31496062000000002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selection activeCell="N99" sqref="N99"/>
    </sheetView>
  </sheetViews>
  <sheetFormatPr defaultRowHeight="11.25" x14ac:dyDescent="0.2"/>
  <cols>
    <col min="1" max="1" width="33.7109375" style="6" customWidth="1"/>
    <col min="2" max="16384" width="9.140625" style="6"/>
  </cols>
  <sheetData>
    <row r="1" spans="1:14" ht="15.75" x14ac:dyDescent="0.25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4" x14ac:dyDescent="0.2">
      <c r="A2" s="23" t="s">
        <v>39</v>
      </c>
      <c r="B2" s="23" t="s">
        <v>40</v>
      </c>
      <c r="C2" s="23" t="s">
        <v>41</v>
      </c>
      <c r="D2" s="23" t="s">
        <v>42</v>
      </c>
      <c r="E2" s="23" t="s">
        <v>43</v>
      </c>
      <c r="F2" s="23" t="s">
        <v>44</v>
      </c>
      <c r="G2" s="23" t="s">
        <v>45</v>
      </c>
      <c r="H2" s="23" t="s">
        <v>46</v>
      </c>
      <c r="I2" s="23" t="s">
        <v>47</v>
      </c>
      <c r="J2" s="23" t="s">
        <v>48</v>
      </c>
      <c r="K2" s="23" t="s">
        <v>49</v>
      </c>
      <c r="L2" s="23" t="s">
        <v>50</v>
      </c>
      <c r="M2" s="23" t="s">
        <v>51</v>
      </c>
    </row>
    <row r="3" spans="1:14" x14ac:dyDescent="0.2">
      <c r="A3" s="6" t="s">
        <v>52</v>
      </c>
      <c r="B3" s="6">
        <v>158</v>
      </c>
      <c r="C3" s="6">
        <v>161</v>
      </c>
      <c r="D3" s="6">
        <v>118</v>
      </c>
      <c r="E3" s="6">
        <v>194</v>
      </c>
      <c r="F3" s="6">
        <v>223</v>
      </c>
      <c r="G3" s="6">
        <v>223</v>
      </c>
      <c r="H3" s="6">
        <v>328</v>
      </c>
      <c r="I3" s="6">
        <v>604</v>
      </c>
      <c r="J3" s="6">
        <v>595</v>
      </c>
      <c r="K3" s="6">
        <v>723</v>
      </c>
      <c r="L3" s="6">
        <v>681</v>
      </c>
      <c r="M3" s="6">
        <v>610</v>
      </c>
    </row>
    <row r="5" spans="1:14" x14ac:dyDescent="0.2">
      <c r="A5" s="57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1:14" x14ac:dyDescent="0.2">
      <c r="A6" s="23" t="s">
        <v>36</v>
      </c>
      <c r="B6" s="23" t="s">
        <v>40</v>
      </c>
      <c r="C6" s="23" t="s">
        <v>41</v>
      </c>
      <c r="D6" s="23" t="s">
        <v>42</v>
      </c>
      <c r="E6" s="23" t="s">
        <v>43</v>
      </c>
      <c r="F6" s="23" t="s">
        <v>44</v>
      </c>
      <c r="G6" s="23" t="s">
        <v>45</v>
      </c>
      <c r="H6" s="23" t="s">
        <v>46</v>
      </c>
      <c r="I6" s="23" t="s">
        <v>47</v>
      </c>
      <c r="J6" s="23" t="s">
        <v>48</v>
      </c>
      <c r="K6" s="23" t="s">
        <v>49</v>
      </c>
      <c r="L6" s="23" t="s">
        <v>50</v>
      </c>
      <c r="M6" s="23" t="s">
        <v>51</v>
      </c>
    </row>
    <row r="7" spans="1:14" x14ac:dyDescent="0.2">
      <c r="A7" s="6" t="s">
        <v>53</v>
      </c>
      <c r="B7" s="6">
        <v>114</v>
      </c>
      <c r="C7" s="6">
        <v>126</v>
      </c>
      <c r="D7" s="6">
        <v>92</v>
      </c>
      <c r="E7" s="6">
        <v>165</v>
      </c>
      <c r="F7" s="6">
        <v>172</v>
      </c>
      <c r="G7" s="6">
        <v>179</v>
      </c>
      <c r="H7" s="6">
        <v>251</v>
      </c>
      <c r="I7" s="6">
        <v>456</v>
      </c>
      <c r="J7" s="6">
        <v>453</v>
      </c>
      <c r="K7" s="7">
        <v>529</v>
      </c>
      <c r="L7" s="6">
        <v>517</v>
      </c>
      <c r="M7" s="6">
        <v>446</v>
      </c>
    </row>
    <row r="8" spans="1:14" x14ac:dyDescent="0.2">
      <c r="A8" s="6" t="s">
        <v>54</v>
      </c>
      <c r="B8" s="6">
        <v>44</v>
      </c>
      <c r="C8" s="6">
        <v>35</v>
      </c>
      <c r="D8" s="6">
        <v>26</v>
      </c>
      <c r="E8" s="6">
        <v>29</v>
      </c>
      <c r="F8" s="6">
        <v>50</v>
      </c>
      <c r="G8" s="6">
        <v>43</v>
      </c>
      <c r="H8" s="6">
        <v>77</v>
      </c>
      <c r="I8" s="6">
        <v>142</v>
      </c>
      <c r="J8" s="6">
        <v>137</v>
      </c>
      <c r="K8" s="7">
        <v>187</v>
      </c>
      <c r="L8" s="6">
        <v>154</v>
      </c>
      <c r="M8" s="6">
        <v>161</v>
      </c>
    </row>
    <row r="9" spans="1:14" x14ac:dyDescent="0.2">
      <c r="A9" s="6" t="s">
        <v>55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1</v>
      </c>
      <c r="H9" s="6">
        <v>0</v>
      </c>
      <c r="I9" s="6">
        <v>6</v>
      </c>
      <c r="J9" s="6">
        <v>5</v>
      </c>
      <c r="K9" s="7">
        <v>7</v>
      </c>
      <c r="L9" s="6">
        <v>10</v>
      </c>
      <c r="M9" s="6">
        <v>3</v>
      </c>
    </row>
    <row r="10" spans="1:14" x14ac:dyDescent="0.2">
      <c r="A10" s="24"/>
      <c r="B10" s="24">
        <f>SUBTOTAL(109,SEXO23[Jan])</f>
        <v>158</v>
      </c>
      <c r="C10" s="24">
        <f>SUBTOTAL(109,SEXO23[Fev])</f>
        <v>161</v>
      </c>
      <c r="D10" s="24">
        <f>SUBTOTAL(109,SEXO23[Mar])</f>
        <v>118</v>
      </c>
      <c r="E10" s="24">
        <f>SUBTOTAL(109,SEXO23[Abr])</f>
        <v>194</v>
      </c>
      <c r="F10" s="24">
        <f>SUBTOTAL(109,SEXO23[Mai])</f>
        <v>223</v>
      </c>
      <c r="G10" s="24">
        <f>SUBTOTAL(109,SEXO23[Jun])</f>
        <v>223</v>
      </c>
      <c r="H10" s="24">
        <f>SUBTOTAL(109,SEXO23[Jul])</f>
        <v>328</v>
      </c>
      <c r="I10" s="24">
        <f>SUBTOTAL(109,SEXO23[Ago])</f>
        <v>604</v>
      </c>
      <c r="J10" s="24">
        <f>SUBTOTAL(109,SEXO23[Set])</f>
        <v>595</v>
      </c>
      <c r="K10" s="24">
        <f>SUBTOTAL(109,SEXO23[Out])</f>
        <v>723</v>
      </c>
      <c r="L10" s="24">
        <f>SUBTOTAL(109,SEXO23[Nov])</f>
        <v>681</v>
      </c>
      <c r="M10" s="24">
        <f>SUBTOTAL(109,SEXO23[Dez])</f>
        <v>610</v>
      </c>
    </row>
    <row r="11" spans="1:14" x14ac:dyDescent="0.2">
      <c r="K11" s="8"/>
    </row>
    <row r="12" spans="1:14" x14ac:dyDescent="0.2">
      <c r="A12" s="51" t="s">
        <v>56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9"/>
    </row>
    <row r="13" spans="1:14" x14ac:dyDescent="0.2">
      <c r="A13" s="23" t="s">
        <v>56</v>
      </c>
      <c r="B13" s="23" t="s">
        <v>40</v>
      </c>
      <c r="C13" s="23" t="s">
        <v>41</v>
      </c>
      <c r="D13" s="23" t="s">
        <v>42</v>
      </c>
      <c r="E13" s="23" t="s">
        <v>43</v>
      </c>
      <c r="F13" s="23" t="s">
        <v>44</v>
      </c>
      <c r="G13" s="23" t="s">
        <v>45</v>
      </c>
      <c r="H13" s="23" t="s">
        <v>46</v>
      </c>
      <c r="I13" s="23" t="s">
        <v>47</v>
      </c>
      <c r="J13" s="23" t="s">
        <v>48</v>
      </c>
      <c r="K13" s="23" t="s">
        <v>49</v>
      </c>
      <c r="L13" s="23" t="s">
        <v>50</v>
      </c>
      <c r="M13" s="23" t="s">
        <v>51</v>
      </c>
      <c r="N13" s="9"/>
    </row>
    <row r="14" spans="1:14" x14ac:dyDescent="0.2">
      <c r="A14" s="10" t="s">
        <v>57</v>
      </c>
      <c r="B14" s="6">
        <v>67</v>
      </c>
      <c r="C14" s="6">
        <v>63</v>
      </c>
      <c r="D14" s="6">
        <v>46</v>
      </c>
      <c r="E14" s="6">
        <v>66</v>
      </c>
      <c r="F14" s="6">
        <v>84</v>
      </c>
      <c r="G14" s="6">
        <v>87</v>
      </c>
      <c r="H14" s="6">
        <v>94</v>
      </c>
      <c r="I14" s="6">
        <v>123</v>
      </c>
      <c r="J14" s="6">
        <v>167</v>
      </c>
      <c r="K14" s="6">
        <v>196</v>
      </c>
      <c r="L14" s="6">
        <v>189</v>
      </c>
      <c r="M14" s="6">
        <v>174</v>
      </c>
    </row>
    <row r="15" spans="1:14" x14ac:dyDescent="0.2">
      <c r="A15" s="10" t="s">
        <v>58</v>
      </c>
      <c r="B15" s="6">
        <v>12</v>
      </c>
      <c r="C15" s="6">
        <v>13</v>
      </c>
      <c r="D15" s="6">
        <v>20</v>
      </c>
      <c r="E15" s="6">
        <v>23</v>
      </c>
      <c r="F15" s="6">
        <v>18</v>
      </c>
      <c r="G15" s="6">
        <v>24</v>
      </c>
      <c r="H15" s="6">
        <v>35</v>
      </c>
      <c r="I15" s="6">
        <v>57</v>
      </c>
      <c r="J15" s="6">
        <v>60</v>
      </c>
      <c r="K15" s="6">
        <v>55</v>
      </c>
      <c r="L15" s="6">
        <v>59</v>
      </c>
      <c r="M15" s="6">
        <v>50</v>
      </c>
    </row>
    <row r="16" spans="1:14" x14ac:dyDescent="0.2">
      <c r="A16" s="11" t="s">
        <v>59</v>
      </c>
      <c r="B16" s="6">
        <v>40</v>
      </c>
      <c r="C16" s="6">
        <v>48</v>
      </c>
      <c r="D16" s="6">
        <v>40</v>
      </c>
      <c r="E16" s="6">
        <v>67</v>
      </c>
      <c r="F16" s="6">
        <v>92</v>
      </c>
      <c r="G16" s="6">
        <v>73</v>
      </c>
      <c r="H16" s="6">
        <v>108</v>
      </c>
      <c r="I16" s="6">
        <v>322</v>
      </c>
      <c r="J16" s="6">
        <v>253</v>
      </c>
      <c r="K16" s="6">
        <v>315</v>
      </c>
      <c r="L16" s="6">
        <v>299</v>
      </c>
      <c r="M16" s="6">
        <v>298</v>
      </c>
    </row>
    <row r="17" spans="1:14" x14ac:dyDescent="0.2">
      <c r="A17" s="10" t="s">
        <v>60</v>
      </c>
      <c r="B17" s="6">
        <v>4</v>
      </c>
      <c r="C17" s="6">
        <v>14</v>
      </c>
      <c r="D17" s="6">
        <v>2</v>
      </c>
      <c r="E17" s="6">
        <v>3</v>
      </c>
      <c r="F17" s="6">
        <v>0</v>
      </c>
      <c r="G17" s="6">
        <v>6</v>
      </c>
      <c r="H17" s="6">
        <v>61</v>
      </c>
      <c r="I17" s="6">
        <v>23</v>
      </c>
      <c r="J17" s="6">
        <v>31</v>
      </c>
      <c r="K17" s="6">
        <v>49</v>
      </c>
      <c r="L17" s="6">
        <v>53</v>
      </c>
      <c r="M17" s="6">
        <v>17</v>
      </c>
    </row>
    <row r="18" spans="1:14" x14ac:dyDescent="0.2">
      <c r="A18" s="10" t="s">
        <v>61</v>
      </c>
      <c r="B18" s="6">
        <v>17</v>
      </c>
      <c r="C18" s="6">
        <v>3</v>
      </c>
      <c r="D18" s="6">
        <v>3</v>
      </c>
      <c r="E18" s="6">
        <v>9</v>
      </c>
      <c r="F18" s="6">
        <v>12</v>
      </c>
      <c r="G18" s="6">
        <v>15</v>
      </c>
      <c r="H18" s="6">
        <v>6</v>
      </c>
      <c r="I18" s="6">
        <v>15</v>
      </c>
      <c r="J18" s="6">
        <v>15</v>
      </c>
      <c r="K18" s="6">
        <v>17</v>
      </c>
      <c r="L18" s="6">
        <v>16</v>
      </c>
      <c r="M18" s="6">
        <v>15</v>
      </c>
    </row>
    <row r="19" spans="1:14" x14ac:dyDescent="0.2">
      <c r="A19" s="12" t="s">
        <v>62</v>
      </c>
      <c r="B19" s="6">
        <v>18</v>
      </c>
      <c r="C19" s="6">
        <v>20</v>
      </c>
      <c r="D19" s="6">
        <v>7</v>
      </c>
      <c r="E19" s="6">
        <v>26</v>
      </c>
      <c r="F19" s="6">
        <v>15</v>
      </c>
      <c r="G19" s="6">
        <v>16</v>
      </c>
      <c r="H19" s="6">
        <v>23</v>
      </c>
      <c r="I19" s="6">
        <v>59</v>
      </c>
      <c r="J19" s="6">
        <v>66</v>
      </c>
      <c r="K19" s="6">
        <v>74</v>
      </c>
      <c r="L19" s="6">
        <v>56</v>
      </c>
      <c r="M19" s="6">
        <v>49</v>
      </c>
    </row>
    <row r="20" spans="1:14" x14ac:dyDescent="0.2">
      <c r="A20" s="10" t="s">
        <v>63</v>
      </c>
      <c r="B20" s="6">
        <v>0</v>
      </c>
      <c r="C20" s="6">
        <v>0</v>
      </c>
      <c r="D20" s="6">
        <v>0</v>
      </c>
      <c r="E20" s="6">
        <v>0</v>
      </c>
      <c r="F20" s="6">
        <v>2</v>
      </c>
      <c r="G20" s="6">
        <v>2</v>
      </c>
      <c r="H20" s="6">
        <v>1</v>
      </c>
      <c r="I20" s="6">
        <v>5</v>
      </c>
      <c r="J20" s="6">
        <v>3</v>
      </c>
      <c r="K20" s="6">
        <v>17</v>
      </c>
      <c r="L20" s="6">
        <v>9</v>
      </c>
      <c r="M20" s="6">
        <v>7</v>
      </c>
    </row>
    <row r="21" spans="1:14" x14ac:dyDescent="0.2">
      <c r="A21" s="25"/>
      <c r="B21" s="24">
        <f>SUBTOTAL(109,NA[Jan])</f>
        <v>158</v>
      </c>
      <c r="C21" s="24">
        <f>SUBTOTAL(109,NA[Fev])</f>
        <v>161</v>
      </c>
      <c r="D21" s="24">
        <f>SUBTOTAL(109,NA[Mar])</f>
        <v>118</v>
      </c>
      <c r="E21" s="24">
        <f>SUBTOTAL(109,NA[Abr])</f>
        <v>194</v>
      </c>
      <c r="F21" s="24">
        <f>SUBTOTAL(109,NA[Mai])</f>
        <v>223</v>
      </c>
      <c r="G21" s="24">
        <f>SUBTOTAL(109,NA[Jun])</f>
        <v>223</v>
      </c>
      <c r="H21" s="24">
        <f>SUBTOTAL(109,NA[Jul])</f>
        <v>328</v>
      </c>
      <c r="I21" s="24">
        <f>SUBTOTAL(109,NA[Ago])</f>
        <v>604</v>
      </c>
      <c r="J21" s="24">
        <f>SUBTOTAL(109,NA[Set])</f>
        <v>595</v>
      </c>
      <c r="K21" s="24">
        <f>SUBTOTAL(109,NA[Out])</f>
        <v>723</v>
      </c>
      <c r="L21" s="24">
        <f>SUBTOTAL(109,NA[Nov])</f>
        <v>681</v>
      </c>
      <c r="M21" s="24">
        <f>SUBTOTAL(109,NA[Dez])</f>
        <v>610</v>
      </c>
    </row>
    <row r="22" spans="1:14" x14ac:dyDescent="0.2">
      <c r="A22" s="10"/>
    </row>
    <row r="23" spans="1:14" x14ac:dyDescent="0.2">
      <c r="A23" s="51" t="s">
        <v>64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9"/>
    </row>
    <row r="24" spans="1:14" x14ac:dyDescent="0.2">
      <c r="A24" s="23" t="s">
        <v>65</v>
      </c>
      <c r="B24" s="23" t="s">
        <v>40</v>
      </c>
      <c r="C24" s="23" t="s">
        <v>41</v>
      </c>
      <c r="D24" s="23" t="s">
        <v>42</v>
      </c>
      <c r="E24" s="23" t="s">
        <v>43</v>
      </c>
      <c r="F24" s="23" t="s">
        <v>44</v>
      </c>
      <c r="G24" s="23" t="s">
        <v>45</v>
      </c>
      <c r="H24" s="23" t="s">
        <v>46</v>
      </c>
      <c r="I24" s="23" t="s">
        <v>47</v>
      </c>
      <c r="J24" s="23" t="s">
        <v>48</v>
      </c>
      <c r="K24" s="23" t="s">
        <v>49</v>
      </c>
      <c r="L24" s="23" t="s">
        <v>50</v>
      </c>
      <c r="M24" s="23" t="s">
        <v>51</v>
      </c>
      <c r="N24" s="9"/>
    </row>
    <row r="25" spans="1:14" x14ac:dyDescent="0.2">
      <c r="A25" s="13" t="s">
        <v>66</v>
      </c>
      <c r="B25" s="6">
        <v>15</v>
      </c>
      <c r="C25" s="6">
        <v>20</v>
      </c>
      <c r="D25" s="6">
        <v>31</v>
      </c>
      <c r="E25" s="6">
        <v>18</v>
      </c>
      <c r="F25" s="6">
        <v>25</v>
      </c>
      <c r="G25" s="6">
        <v>40</v>
      </c>
      <c r="H25" s="6">
        <v>57</v>
      </c>
      <c r="I25" s="6">
        <v>85</v>
      </c>
      <c r="J25" s="6">
        <v>92</v>
      </c>
      <c r="K25" s="6">
        <v>108</v>
      </c>
      <c r="L25" s="6">
        <v>77</v>
      </c>
      <c r="M25" s="6">
        <v>75</v>
      </c>
    </row>
    <row r="26" spans="1:14" x14ac:dyDescent="0.2">
      <c r="A26" s="13" t="s">
        <v>67</v>
      </c>
      <c r="B26" s="6">
        <v>40</v>
      </c>
      <c r="C26" s="6">
        <v>40</v>
      </c>
      <c r="D26" s="6">
        <v>33</v>
      </c>
      <c r="E26" s="6">
        <v>37</v>
      </c>
      <c r="F26" s="6">
        <v>64</v>
      </c>
      <c r="G26" s="6">
        <v>76</v>
      </c>
      <c r="H26" s="6">
        <v>69</v>
      </c>
      <c r="I26" s="6">
        <v>95</v>
      </c>
      <c r="J26" s="6">
        <v>111</v>
      </c>
      <c r="K26" s="6">
        <v>174</v>
      </c>
      <c r="L26" s="6">
        <v>158</v>
      </c>
      <c r="M26" s="6">
        <v>146</v>
      </c>
    </row>
    <row r="27" spans="1:14" x14ac:dyDescent="0.2">
      <c r="A27" s="14" t="s">
        <v>68</v>
      </c>
      <c r="B27" s="6">
        <v>9</v>
      </c>
      <c r="C27" s="6">
        <v>2</v>
      </c>
      <c r="D27" s="6">
        <v>4</v>
      </c>
      <c r="E27" s="6">
        <v>4</v>
      </c>
      <c r="F27" s="6">
        <v>4</v>
      </c>
      <c r="G27" s="6">
        <v>9</v>
      </c>
      <c r="H27" s="6">
        <v>8</v>
      </c>
      <c r="I27" s="6">
        <v>18</v>
      </c>
      <c r="J27" s="6">
        <v>16</v>
      </c>
      <c r="K27" s="6">
        <v>14</v>
      </c>
      <c r="L27" s="6">
        <v>11</v>
      </c>
      <c r="M27" s="6">
        <v>5</v>
      </c>
    </row>
    <row r="28" spans="1:14" x14ac:dyDescent="0.2">
      <c r="A28" s="9" t="s">
        <v>69</v>
      </c>
      <c r="B28" s="6">
        <v>40</v>
      </c>
      <c r="C28" s="6">
        <v>27</v>
      </c>
      <c r="D28" s="6">
        <v>25</v>
      </c>
      <c r="E28" s="6">
        <v>38</v>
      </c>
      <c r="F28" s="6">
        <v>47</v>
      </c>
      <c r="G28" s="6">
        <v>35</v>
      </c>
      <c r="H28" s="6">
        <v>51</v>
      </c>
      <c r="I28" s="6">
        <v>95</v>
      </c>
      <c r="J28" s="6">
        <v>106</v>
      </c>
      <c r="K28" s="6">
        <v>147</v>
      </c>
      <c r="L28" s="6">
        <v>114</v>
      </c>
      <c r="M28" s="6">
        <v>113</v>
      </c>
    </row>
    <row r="29" spans="1:14" ht="11.25" customHeight="1" x14ac:dyDescent="0.2">
      <c r="A29" s="13" t="s">
        <v>70</v>
      </c>
      <c r="B29" s="6">
        <v>24</v>
      </c>
      <c r="C29" s="6">
        <v>14</v>
      </c>
      <c r="D29" s="6">
        <v>28</v>
      </c>
      <c r="E29" s="6">
        <v>25</v>
      </c>
      <c r="F29" s="6">
        <v>48</v>
      </c>
      <c r="G29" s="6">
        <v>52</v>
      </c>
      <c r="H29" s="6">
        <v>44</v>
      </c>
      <c r="I29" s="6">
        <v>81</v>
      </c>
      <c r="J29" s="6">
        <v>82</v>
      </c>
      <c r="K29" s="6">
        <v>109</v>
      </c>
      <c r="L29" s="6">
        <v>88</v>
      </c>
      <c r="M29" s="6">
        <v>88</v>
      </c>
    </row>
    <row r="30" spans="1:14" ht="11.25" customHeight="1" x14ac:dyDescent="0.2">
      <c r="A30" s="27"/>
      <c r="B30" s="24">
        <f>SUBTOTAL(109,FRA[Jan])</f>
        <v>128</v>
      </c>
      <c r="C30" s="24">
        <f>SUBTOTAL(109,FRA[Fev])</f>
        <v>103</v>
      </c>
      <c r="D30" s="24">
        <f>SUBTOTAL(109,FRA[Mar])</f>
        <v>121</v>
      </c>
      <c r="E30" s="24">
        <f>SUBTOTAL(109,FRA[Abr])</f>
        <v>122</v>
      </c>
      <c r="F30" s="24">
        <f>SUBTOTAL(109,FRA[Mai])</f>
        <v>188</v>
      </c>
      <c r="G30" s="24">
        <f>SUBTOTAL(109,FRA[Jun])</f>
        <v>212</v>
      </c>
      <c r="H30" s="24">
        <f>SUBTOTAL(109,FRA[Jul])</f>
        <v>229</v>
      </c>
      <c r="I30" s="24">
        <f>SUBTOTAL(109,FRA[Ago])</f>
        <v>374</v>
      </c>
      <c r="J30" s="24">
        <f>SUBTOTAL(109,FRA[Set])</f>
        <v>407</v>
      </c>
      <c r="K30" s="24">
        <f>SUBTOTAL(109,FRA[Out])</f>
        <v>552</v>
      </c>
      <c r="L30" s="24">
        <f>SUBTOTAL(109,FRA[Nov])</f>
        <v>448</v>
      </c>
      <c r="M30" s="24">
        <f>SUBTOTAL(109,FRA[Dez])</f>
        <v>427</v>
      </c>
    </row>
    <row r="31" spans="1:14" ht="11.25" customHeight="1" x14ac:dyDescent="0.2">
      <c r="A31" s="13"/>
    </row>
    <row r="32" spans="1:14" x14ac:dyDescent="0.2">
      <c r="A32" s="51" t="s">
        <v>71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</row>
    <row r="33" spans="1:17" x14ac:dyDescent="0.2">
      <c r="A33" s="23" t="s">
        <v>71</v>
      </c>
      <c r="B33" s="23" t="s">
        <v>40</v>
      </c>
      <c r="C33" s="23" t="s">
        <v>41</v>
      </c>
      <c r="D33" s="23" t="s">
        <v>42</v>
      </c>
      <c r="E33" s="23" t="s">
        <v>43</v>
      </c>
      <c r="F33" s="23" t="s">
        <v>44</v>
      </c>
      <c r="G33" s="23" t="s">
        <v>45</v>
      </c>
      <c r="H33" s="23" t="s">
        <v>46</v>
      </c>
      <c r="I33" s="23" t="s">
        <v>47</v>
      </c>
      <c r="J33" s="23" t="s">
        <v>48</v>
      </c>
      <c r="K33" s="23" t="s">
        <v>49</v>
      </c>
      <c r="L33" s="23" t="s">
        <v>50</v>
      </c>
      <c r="M33" s="23" t="s">
        <v>51</v>
      </c>
    </row>
    <row r="34" spans="1:17" x14ac:dyDescent="0.2">
      <c r="A34" s="15" t="s">
        <v>72</v>
      </c>
      <c r="B34" s="6">
        <v>11</v>
      </c>
      <c r="C34" s="6">
        <v>3</v>
      </c>
      <c r="D34" s="6">
        <v>3</v>
      </c>
      <c r="E34" s="6">
        <v>12</v>
      </c>
      <c r="F34" s="6">
        <v>3</v>
      </c>
      <c r="G34" s="6">
        <v>6</v>
      </c>
      <c r="H34" s="6">
        <v>18</v>
      </c>
      <c r="I34" s="6">
        <v>26</v>
      </c>
      <c r="J34" s="6">
        <v>32</v>
      </c>
      <c r="K34" s="6">
        <v>40</v>
      </c>
      <c r="L34" s="6">
        <v>39</v>
      </c>
      <c r="M34" s="6">
        <v>35</v>
      </c>
    </row>
    <row r="35" spans="1:17" x14ac:dyDescent="0.2">
      <c r="A35" s="15" t="s">
        <v>73</v>
      </c>
      <c r="B35" s="6">
        <v>32</v>
      </c>
      <c r="C35" s="6">
        <v>34</v>
      </c>
      <c r="D35" s="6">
        <v>15</v>
      </c>
      <c r="E35" s="6">
        <v>40</v>
      </c>
      <c r="F35" s="6">
        <v>38</v>
      </c>
      <c r="G35" s="6">
        <v>24</v>
      </c>
      <c r="H35" s="6">
        <v>53</v>
      </c>
      <c r="I35" s="6">
        <v>96</v>
      </c>
      <c r="J35" s="6">
        <v>93</v>
      </c>
      <c r="K35" s="6">
        <v>123</v>
      </c>
      <c r="L35" s="6">
        <v>102</v>
      </c>
      <c r="M35" s="6">
        <v>109</v>
      </c>
    </row>
    <row r="36" spans="1:17" x14ac:dyDescent="0.2">
      <c r="A36" s="15" t="s">
        <v>74</v>
      </c>
      <c r="B36" s="6">
        <v>79</v>
      </c>
      <c r="C36" s="6">
        <v>94</v>
      </c>
      <c r="D36" s="6">
        <v>65</v>
      </c>
      <c r="E36" s="6">
        <v>102</v>
      </c>
      <c r="F36" s="6">
        <v>121</v>
      </c>
      <c r="G36" s="6">
        <v>140</v>
      </c>
      <c r="H36" s="6">
        <v>174</v>
      </c>
      <c r="I36" s="6">
        <v>344</v>
      </c>
      <c r="J36" s="6">
        <v>331</v>
      </c>
      <c r="K36" s="6">
        <v>404</v>
      </c>
      <c r="L36" s="6">
        <v>392</v>
      </c>
      <c r="M36" s="6">
        <v>343</v>
      </c>
    </row>
    <row r="37" spans="1:17" x14ac:dyDescent="0.2">
      <c r="A37" s="15" t="s">
        <v>75</v>
      </c>
      <c r="B37" s="6">
        <v>30</v>
      </c>
      <c r="C37" s="6">
        <v>25</v>
      </c>
      <c r="D37" s="6">
        <v>31</v>
      </c>
      <c r="E37" s="6">
        <v>30</v>
      </c>
      <c r="F37" s="6">
        <v>45</v>
      </c>
      <c r="G37" s="6">
        <v>44</v>
      </c>
      <c r="H37" s="6">
        <v>64</v>
      </c>
      <c r="I37" s="6">
        <v>115</v>
      </c>
      <c r="J37" s="6">
        <v>118</v>
      </c>
      <c r="K37" s="6">
        <v>139</v>
      </c>
      <c r="L37" s="6">
        <v>132</v>
      </c>
      <c r="M37" s="6">
        <v>101</v>
      </c>
    </row>
    <row r="38" spans="1:17" x14ac:dyDescent="0.2">
      <c r="A38" s="15" t="s">
        <v>76</v>
      </c>
      <c r="B38" s="6">
        <v>6</v>
      </c>
      <c r="C38" s="6">
        <v>5</v>
      </c>
      <c r="D38" s="6">
        <v>4</v>
      </c>
      <c r="E38" s="6">
        <v>10</v>
      </c>
      <c r="F38" s="6">
        <v>16</v>
      </c>
      <c r="G38" s="6">
        <v>9</v>
      </c>
      <c r="H38" s="6">
        <v>19</v>
      </c>
      <c r="I38" s="6">
        <v>23</v>
      </c>
      <c r="J38" s="6">
        <v>21</v>
      </c>
      <c r="K38" s="6">
        <v>17</v>
      </c>
      <c r="L38" s="6">
        <v>16</v>
      </c>
      <c r="M38" s="6">
        <v>22</v>
      </c>
    </row>
    <row r="39" spans="1:17" x14ac:dyDescent="0.2">
      <c r="A39" s="24"/>
      <c r="B39" s="24">
        <f>SUBTOTAL(109,FE[Jan])</f>
        <v>158</v>
      </c>
      <c r="C39" s="24">
        <f>SUBTOTAL(109,FE[Fev])</f>
        <v>161</v>
      </c>
      <c r="D39" s="24">
        <f>SUBTOTAL(109,FE[Mar])</f>
        <v>118</v>
      </c>
      <c r="E39" s="24">
        <f>SUBTOTAL(109,FE[Abr])</f>
        <v>194</v>
      </c>
      <c r="F39" s="24">
        <f>SUBTOTAL(109,FE[Mai])</f>
        <v>223</v>
      </c>
      <c r="G39" s="24">
        <f>SUBTOTAL(109,FE[Jun])</f>
        <v>223</v>
      </c>
      <c r="H39" s="24">
        <f>SUBTOTAL(109,FE[Jul])</f>
        <v>328</v>
      </c>
      <c r="I39" s="24">
        <f>SUBTOTAL(109,FE[Ago])</f>
        <v>604</v>
      </c>
      <c r="J39" s="24">
        <f>SUBTOTAL(109,FE[Set])</f>
        <v>595</v>
      </c>
      <c r="K39" s="24">
        <f>SUBTOTAL(109,FE[Out])</f>
        <v>723</v>
      </c>
      <c r="L39" s="24">
        <f>SUBTOTAL(109,FE[Nov])</f>
        <v>681</v>
      </c>
      <c r="M39" s="24">
        <f>SUBTOTAL(109,FE[Dez])</f>
        <v>610</v>
      </c>
    </row>
    <row r="40" spans="1:17" x14ac:dyDescent="0.2">
      <c r="A40" s="15"/>
    </row>
    <row r="41" spans="1:17" x14ac:dyDescent="0.2">
      <c r="A41" s="51" t="s">
        <v>77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</row>
    <row r="42" spans="1:17" x14ac:dyDescent="0.2">
      <c r="A42" s="23" t="s">
        <v>77</v>
      </c>
      <c r="B42" s="23" t="s">
        <v>40</v>
      </c>
      <c r="C42" s="23" t="s">
        <v>41</v>
      </c>
      <c r="D42" s="23" t="s">
        <v>42</v>
      </c>
      <c r="E42" s="23" t="s">
        <v>43</v>
      </c>
      <c r="F42" s="23" t="s">
        <v>44</v>
      </c>
      <c r="G42" s="23" t="s">
        <v>45</v>
      </c>
      <c r="H42" s="23" t="s">
        <v>46</v>
      </c>
      <c r="I42" s="23" t="s">
        <v>47</v>
      </c>
      <c r="J42" s="23" t="s">
        <v>48</v>
      </c>
      <c r="K42" s="23" t="s">
        <v>49</v>
      </c>
      <c r="L42" s="23" t="s">
        <v>50</v>
      </c>
      <c r="M42" s="23" t="s">
        <v>51</v>
      </c>
    </row>
    <row r="43" spans="1:17" x14ac:dyDescent="0.2">
      <c r="A43" s="6" t="s">
        <v>78</v>
      </c>
      <c r="B43" s="6">
        <v>34</v>
      </c>
      <c r="C43" s="6">
        <v>27</v>
      </c>
      <c r="D43" s="6">
        <v>14</v>
      </c>
      <c r="E43" s="6">
        <v>21</v>
      </c>
      <c r="F43" s="6">
        <v>42</v>
      </c>
      <c r="G43" s="6">
        <v>46</v>
      </c>
      <c r="H43" s="6">
        <v>45</v>
      </c>
      <c r="I43" s="6">
        <v>89</v>
      </c>
      <c r="J43" s="6">
        <v>77</v>
      </c>
      <c r="K43" s="6">
        <v>106</v>
      </c>
      <c r="L43" s="6">
        <v>132</v>
      </c>
      <c r="M43" s="6">
        <v>82</v>
      </c>
    </row>
    <row r="44" spans="1:17" x14ac:dyDescent="0.2">
      <c r="A44" s="6" t="s">
        <v>79</v>
      </c>
      <c r="B44" s="6">
        <v>33</v>
      </c>
      <c r="C44" s="6">
        <v>29</v>
      </c>
      <c r="D44" s="6">
        <v>19</v>
      </c>
      <c r="E44" s="6">
        <v>22</v>
      </c>
      <c r="F44" s="6">
        <v>28</v>
      </c>
      <c r="G44" s="6">
        <v>34</v>
      </c>
      <c r="H44" s="6">
        <v>33</v>
      </c>
      <c r="I44" s="6">
        <v>46</v>
      </c>
      <c r="J44" s="6">
        <v>74</v>
      </c>
      <c r="K44" s="6">
        <v>66</v>
      </c>
      <c r="L44" s="6">
        <v>81</v>
      </c>
      <c r="M44" s="6">
        <v>69</v>
      </c>
    </row>
    <row r="45" spans="1:17" x14ac:dyDescent="0.2">
      <c r="A45" s="6" t="s">
        <v>80</v>
      </c>
      <c r="B45" s="6">
        <v>11</v>
      </c>
      <c r="C45" s="6">
        <v>22</v>
      </c>
      <c r="D45" s="6">
        <v>21</v>
      </c>
      <c r="E45" s="6">
        <v>20</v>
      </c>
      <c r="F45" s="6">
        <v>35</v>
      </c>
      <c r="G45" s="6">
        <v>23</v>
      </c>
      <c r="H45" s="6">
        <v>34</v>
      </c>
      <c r="I45" s="6">
        <v>73</v>
      </c>
      <c r="J45" s="6">
        <v>74</v>
      </c>
      <c r="K45" s="6">
        <v>69</v>
      </c>
      <c r="L45" s="6">
        <v>67</v>
      </c>
      <c r="M45" s="6">
        <v>91</v>
      </c>
      <c r="Q45" s="6" t="s">
        <v>81</v>
      </c>
    </row>
    <row r="46" spans="1:17" x14ac:dyDescent="0.2">
      <c r="A46" s="6" t="s">
        <v>82</v>
      </c>
      <c r="B46" s="6">
        <v>19</v>
      </c>
      <c r="C46" s="6">
        <v>16</v>
      </c>
      <c r="D46" s="6">
        <v>13</v>
      </c>
      <c r="E46" s="6">
        <v>22</v>
      </c>
      <c r="F46" s="6">
        <v>24</v>
      </c>
      <c r="G46" s="6">
        <v>33</v>
      </c>
      <c r="H46" s="6">
        <v>54</v>
      </c>
      <c r="I46" s="6">
        <v>54</v>
      </c>
      <c r="J46" s="6">
        <v>65</v>
      </c>
      <c r="K46" s="6">
        <v>80</v>
      </c>
      <c r="L46" s="6">
        <v>46</v>
      </c>
      <c r="M46" s="6">
        <v>85</v>
      </c>
    </row>
    <row r="47" spans="1:17" x14ac:dyDescent="0.2">
      <c r="A47" s="6" t="s">
        <v>83</v>
      </c>
      <c r="B47" s="6">
        <v>18</v>
      </c>
      <c r="C47" s="6">
        <v>17</v>
      </c>
      <c r="D47" s="6">
        <v>13</v>
      </c>
      <c r="E47" s="6">
        <v>29</v>
      </c>
      <c r="F47" s="6">
        <v>42</v>
      </c>
      <c r="G47" s="6">
        <v>28</v>
      </c>
      <c r="H47" s="6">
        <v>57</v>
      </c>
      <c r="I47" s="6">
        <v>77</v>
      </c>
      <c r="J47" s="6">
        <v>74</v>
      </c>
      <c r="K47" s="6">
        <v>89</v>
      </c>
      <c r="L47" s="6">
        <v>70</v>
      </c>
      <c r="M47" s="6">
        <v>75</v>
      </c>
    </row>
    <row r="48" spans="1:17" x14ac:dyDescent="0.2">
      <c r="A48" s="6" t="s">
        <v>84</v>
      </c>
      <c r="B48" s="6">
        <v>28</v>
      </c>
      <c r="C48" s="6">
        <v>14</v>
      </c>
      <c r="D48" s="6">
        <v>4</v>
      </c>
      <c r="E48" s="6">
        <v>32</v>
      </c>
      <c r="F48" s="6">
        <v>26</v>
      </c>
      <c r="G48" s="6">
        <v>24</v>
      </c>
      <c r="H48" s="6">
        <v>59</v>
      </c>
      <c r="I48" s="6">
        <v>128</v>
      </c>
      <c r="J48" s="6">
        <v>98</v>
      </c>
      <c r="K48" s="6">
        <v>152</v>
      </c>
      <c r="L48" s="6">
        <v>102</v>
      </c>
      <c r="M48" s="6">
        <v>90</v>
      </c>
    </row>
    <row r="49" spans="1:14" x14ac:dyDescent="0.2">
      <c r="A49" s="6" t="s">
        <v>85</v>
      </c>
      <c r="B49" s="6">
        <v>14</v>
      </c>
      <c r="C49" s="6">
        <v>35</v>
      </c>
      <c r="D49" s="6">
        <v>34</v>
      </c>
      <c r="E49" s="6">
        <v>47</v>
      </c>
      <c r="F49" s="6">
        <v>24</v>
      </c>
      <c r="G49" s="6">
        <v>34</v>
      </c>
      <c r="H49" s="6">
        <v>43</v>
      </c>
      <c r="I49" s="6">
        <v>131</v>
      </c>
      <c r="J49" s="6">
        <v>129</v>
      </c>
      <c r="K49" s="6">
        <v>156</v>
      </c>
      <c r="L49" s="6">
        <v>179</v>
      </c>
      <c r="M49" s="6">
        <v>116</v>
      </c>
    </row>
    <row r="50" spans="1:14" x14ac:dyDescent="0.2">
      <c r="A50" s="6" t="s">
        <v>55</v>
      </c>
      <c r="B50" s="6">
        <v>1</v>
      </c>
      <c r="C50" s="6">
        <v>1</v>
      </c>
      <c r="D50" s="6">
        <v>0</v>
      </c>
      <c r="E50" s="6">
        <v>1</v>
      </c>
      <c r="F50" s="6">
        <v>2</v>
      </c>
      <c r="G50" s="6">
        <v>1</v>
      </c>
      <c r="H50" s="6">
        <v>3</v>
      </c>
      <c r="I50" s="6">
        <v>6</v>
      </c>
      <c r="J50" s="6">
        <v>4</v>
      </c>
      <c r="K50" s="6">
        <v>5</v>
      </c>
      <c r="L50" s="6">
        <v>4</v>
      </c>
      <c r="M50" s="6">
        <v>2</v>
      </c>
    </row>
    <row r="51" spans="1:14" x14ac:dyDescent="0.2">
      <c r="A51" s="24"/>
      <c r="B51" s="24">
        <f>SUBTOTAL(109,DSA[Jan])</f>
        <v>158</v>
      </c>
      <c r="C51" s="24">
        <f>SUBTOTAL(109,DSA[Fev])</f>
        <v>161</v>
      </c>
      <c r="D51" s="24">
        <f>SUBTOTAL(109,DSA[Mar])</f>
        <v>118</v>
      </c>
      <c r="E51" s="24">
        <f>SUBTOTAL(109,DSA[Abr])</f>
        <v>194</v>
      </c>
      <c r="F51" s="24">
        <f>SUBTOTAL(109,DSA[Mai])</f>
        <v>223</v>
      </c>
      <c r="G51" s="24">
        <f>SUBTOTAL(109,DSA[Jun])</f>
        <v>223</v>
      </c>
      <c r="H51" s="24">
        <f>SUBTOTAL(109,DSA[Jul])</f>
        <v>328</v>
      </c>
      <c r="I51" s="24">
        <f>SUBTOTAL(109,DSA[Ago])</f>
        <v>604</v>
      </c>
      <c r="J51" s="24">
        <f>SUBTOTAL(109,DSA[Set])</f>
        <v>595</v>
      </c>
      <c r="K51" s="24">
        <f>SUBTOTAL(109,DSA[Out])</f>
        <v>723</v>
      </c>
      <c r="L51" s="24">
        <f>SUBTOTAL(109,DSA[Nov])</f>
        <v>681</v>
      </c>
      <c r="M51" s="24">
        <f>SUBTOTAL(109,DSA[Dez])</f>
        <v>610</v>
      </c>
    </row>
    <row r="53" spans="1:14" x14ac:dyDescent="0.2">
      <c r="A53" s="51" t="s">
        <v>86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  <c r="N53" s="9"/>
    </row>
    <row r="54" spans="1:14" x14ac:dyDescent="0.2">
      <c r="A54" s="23" t="s">
        <v>86</v>
      </c>
      <c r="B54" s="23" t="s">
        <v>40</v>
      </c>
      <c r="C54" s="23" t="s">
        <v>41</v>
      </c>
      <c r="D54" s="23" t="s">
        <v>42</v>
      </c>
      <c r="E54" s="23" t="s">
        <v>43</v>
      </c>
      <c r="F54" s="23" t="s">
        <v>44</v>
      </c>
      <c r="G54" s="23" t="s">
        <v>45</v>
      </c>
      <c r="H54" s="23" t="s">
        <v>46</v>
      </c>
      <c r="I54" s="23" t="s">
        <v>47</v>
      </c>
      <c r="J54" s="23" t="s">
        <v>48</v>
      </c>
      <c r="K54" s="23" t="s">
        <v>49</v>
      </c>
      <c r="L54" s="23" t="s">
        <v>50</v>
      </c>
      <c r="M54" s="23" t="s">
        <v>51</v>
      </c>
      <c r="N54" s="9"/>
    </row>
    <row r="55" spans="1:14" x14ac:dyDescent="0.2">
      <c r="A55" s="12" t="s">
        <v>87</v>
      </c>
      <c r="B55" s="6">
        <v>5</v>
      </c>
      <c r="C55" s="6">
        <v>3</v>
      </c>
      <c r="D55" s="6">
        <v>3</v>
      </c>
      <c r="E55" s="6">
        <v>7</v>
      </c>
      <c r="F55" s="6">
        <v>8</v>
      </c>
      <c r="G55" s="6">
        <v>7</v>
      </c>
      <c r="H55" s="6">
        <v>13</v>
      </c>
      <c r="I55" s="6">
        <v>16</v>
      </c>
      <c r="J55" s="6">
        <v>16</v>
      </c>
      <c r="K55" s="6">
        <v>17</v>
      </c>
      <c r="L55" s="6">
        <v>15</v>
      </c>
      <c r="M55" s="6">
        <v>20</v>
      </c>
    </row>
    <row r="56" spans="1:14" x14ac:dyDescent="0.2">
      <c r="A56" s="12" t="s">
        <v>88</v>
      </c>
      <c r="B56" s="6">
        <v>23</v>
      </c>
      <c r="C56" s="6">
        <v>18</v>
      </c>
      <c r="D56" s="6">
        <v>13</v>
      </c>
      <c r="E56" s="6">
        <v>22</v>
      </c>
      <c r="F56" s="6">
        <v>21</v>
      </c>
      <c r="G56" s="6">
        <v>34</v>
      </c>
      <c r="H56" s="6">
        <v>43</v>
      </c>
      <c r="I56" s="6">
        <v>50</v>
      </c>
      <c r="J56" s="6">
        <v>57</v>
      </c>
      <c r="K56" s="6">
        <v>76</v>
      </c>
      <c r="L56" s="6">
        <v>57</v>
      </c>
      <c r="M56" s="6">
        <v>60</v>
      </c>
    </row>
    <row r="57" spans="1:14" x14ac:dyDescent="0.2">
      <c r="A57" s="11" t="s">
        <v>89</v>
      </c>
      <c r="B57" s="6">
        <v>98</v>
      </c>
      <c r="C57" s="6">
        <v>107</v>
      </c>
      <c r="D57" s="6">
        <v>41</v>
      </c>
      <c r="E57" s="6">
        <v>44</v>
      </c>
      <c r="F57" s="6">
        <v>87</v>
      </c>
      <c r="G57" s="6">
        <v>109</v>
      </c>
      <c r="H57" s="6">
        <v>133</v>
      </c>
      <c r="I57" s="6">
        <v>181</v>
      </c>
      <c r="J57" s="6">
        <v>193</v>
      </c>
      <c r="K57" s="6">
        <v>280</v>
      </c>
      <c r="L57" s="6">
        <v>275</v>
      </c>
      <c r="M57" s="6">
        <v>181</v>
      </c>
    </row>
    <row r="58" spans="1:14" x14ac:dyDescent="0.2">
      <c r="A58" s="10" t="s">
        <v>90</v>
      </c>
      <c r="B58" s="6">
        <v>9</v>
      </c>
      <c r="C58" s="6">
        <v>8</v>
      </c>
      <c r="D58" s="6">
        <v>28</v>
      </c>
      <c r="E58" s="6">
        <v>38</v>
      </c>
      <c r="F58" s="6">
        <v>16</v>
      </c>
      <c r="G58" s="6">
        <v>8</v>
      </c>
      <c r="H58" s="6">
        <v>28</v>
      </c>
      <c r="I58" s="6">
        <v>57</v>
      </c>
      <c r="J58" s="6">
        <v>74</v>
      </c>
      <c r="K58" s="6">
        <v>90</v>
      </c>
      <c r="L58" s="6">
        <v>73</v>
      </c>
      <c r="M58" s="6">
        <v>91</v>
      </c>
    </row>
    <row r="59" spans="1:14" x14ac:dyDescent="0.2">
      <c r="A59" s="10" t="s">
        <v>62</v>
      </c>
      <c r="B59" s="6">
        <v>23</v>
      </c>
      <c r="C59" s="6">
        <v>25</v>
      </c>
      <c r="D59" s="6">
        <v>33</v>
      </c>
      <c r="E59" s="6">
        <v>83</v>
      </c>
      <c r="F59" s="6">
        <v>91</v>
      </c>
      <c r="G59" s="6">
        <v>65</v>
      </c>
      <c r="H59" s="6">
        <v>111</v>
      </c>
      <c r="I59" s="6">
        <v>300</v>
      </c>
      <c r="J59" s="6">
        <v>255</v>
      </c>
      <c r="K59" s="6">
        <v>260</v>
      </c>
      <c r="L59" s="6">
        <v>261</v>
      </c>
      <c r="M59" s="6">
        <v>258</v>
      </c>
    </row>
    <row r="60" spans="1:14" ht="11.25" customHeight="1" x14ac:dyDescent="0.25">
      <c r="A60" s="26"/>
      <c r="B60" s="24">
        <f>SUBTOTAL(109,ART[Jan])</f>
        <v>158</v>
      </c>
      <c r="C60" s="24">
        <f>SUBTOTAL(109,ART[Fev])</f>
        <v>161</v>
      </c>
      <c r="D60" s="24">
        <f>SUBTOTAL(109,ART[Mar])</f>
        <v>118</v>
      </c>
      <c r="E60" s="24">
        <f>SUBTOTAL(109,ART[Abr])</f>
        <v>194</v>
      </c>
      <c r="F60" s="24">
        <f>SUBTOTAL(109,ART[Mai])</f>
        <v>223</v>
      </c>
      <c r="G60" s="24">
        <f>SUBTOTAL(109,ART[Jun])</f>
        <v>223</v>
      </c>
      <c r="H60" s="24">
        <f>SUBTOTAL(109,ART[Jul])</f>
        <v>328</v>
      </c>
      <c r="I60" s="24">
        <f>SUBTOTAL(109,ART[Ago])</f>
        <v>604</v>
      </c>
      <c r="J60" s="24">
        <f>SUBTOTAL(109,ART[Set])</f>
        <v>595</v>
      </c>
      <c r="K60" s="24">
        <f>SUBTOTAL(109,ART[Out])</f>
        <v>723</v>
      </c>
      <c r="L60" s="24">
        <f>SUBTOTAL(109,ART[Nov])</f>
        <v>681</v>
      </c>
      <c r="M60" s="24">
        <f>SUBTOTAL(109,ART[Dez])</f>
        <v>610</v>
      </c>
    </row>
    <row r="61" spans="1:14" x14ac:dyDescent="0.2">
      <c r="A61" s="10"/>
    </row>
    <row r="62" spans="1:14" x14ac:dyDescent="0.2">
      <c r="A62" s="51" t="s">
        <v>91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3"/>
    </row>
    <row r="63" spans="1:14" x14ac:dyDescent="0.2">
      <c r="A63" s="23" t="s">
        <v>91</v>
      </c>
      <c r="B63" s="23" t="s">
        <v>40</v>
      </c>
      <c r="C63" s="23" t="s">
        <v>41</v>
      </c>
      <c r="D63" s="23" t="s">
        <v>42</v>
      </c>
      <c r="E63" s="23" t="s">
        <v>43</v>
      </c>
      <c r="F63" s="23" t="s">
        <v>44</v>
      </c>
      <c r="G63" s="23" t="s">
        <v>45</v>
      </c>
      <c r="H63" s="23" t="s">
        <v>46</v>
      </c>
      <c r="I63" s="23" t="s">
        <v>47</v>
      </c>
      <c r="J63" s="23" t="s">
        <v>48</v>
      </c>
      <c r="K63" s="23" t="s">
        <v>49</v>
      </c>
      <c r="L63" s="23" t="s">
        <v>50</v>
      </c>
      <c r="M63" s="23" t="s">
        <v>51</v>
      </c>
    </row>
    <row r="64" spans="1:14" x14ac:dyDescent="0.2">
      <c r="A64" s="6" t="s">
        <v>92</v>
      </c>
      <c r="B64" s="6">
        <v>8</v>
      </c>
      <c r="C64" s="6">
        <v>6</v>
      </c>
      <c r="D64" s="6">
        <v>7</v>
      </c>
      <c r="E64" s="6">
        <v>16</v>
      </c>
      <c r="F64" s="6">
        <v>11</v>
      </c>
      <c r="G64" s="6">
        <v>13</v>
      </c>
      <c r="H64" s="6">
        <v>25</v>
      </c>
      <c r="I64" s="6">
        <v>33</v>
      </c>
      <c r="J64" s="6">
        <v>36</v>
      </c>
      <c r="K64" s="6">
        <v>33</v>
      </c>
      <c r="L64" s="6">
        <v>30</v>
      </c>
      <c r="M64" s="6">
        <v>26</v>
      </c>
    </row>
    <row r="65" spans="1:13" x14ac:dyDescent="0.2">
      <c r="A65" s="6" t="s">
        <v>93</v>
      </c>
      <c r="B65" s="6">
        <v>18</v>
      </c>
      <c r="C65" s="6">
        <v>16</v>
      </c>
      <c r="D65" s="6">
        <v>13</v>
      </c>
      <c r="E65" s="6">
        <v>10</v>
      </c>
      <c r="F65" s="6">
        <v>12</v>
      </c>
      <c r="G65" s="6">
        <v>19</v>
      </c>
      <c r="H65" s="6">
        <v>33</v>
      </c>
      <c r="I65" s="6">
        <v>44</v>
      </c>
      <c r="J65" s="6">
        <v>39</v>
      </c>
      <c r="K65" s="6">
        <v>48</v>
      </c>
      <c r="L65" s="6">
        <v>59</v>
      </c>
      <c r="M65" s="6">
        <v>45</v>
      </c>
    </row>
    <row r="66" spans="1:13" x14ac:dyDescent="0.2">
      <c r="A66" s="6" t="s">
        <v>94</v>
      </c>
      <c r="B66" s="6">
        <v>108</v>
      </c>
      <c r="C66" s="6">
        <v>126</v>
      </c>
      <c r="D66" s="6">
        <v>90</v>
      </c>
      <c r="E66" s="6">
        <v>137</v>
      </c>
      <c r="F66" s="6">
        <v>178</v>
      </c>
      <c r="G66" s="6">
        <v>175</v>
      </c>
      <c r="H66" s="6">
        <v>236</v>
      </c>
      <c r="I66" s="6">
        <v>448</v>
      </c>
      <c r="J66" s="6">
        <v>448</v>
      </c>
      <c r="K66" s="6">
        <v>548</v>
      </c>
      <c r="L66" s="6">
        <v>511</v>
      </c>
      <c r="M66" s="6">
        <v>468</v>
      </c>
    </row>
    <row r="67" spans="1:13" x14ac:dyDescent="0.2">
      <c r="A67" s="6" t="s">
        <v>95</v>
      </c>
      <c r="B67" s="6">
        <v>22</v>
      </c>
      <c r="C67" s="6">
        <v>6</v>
      </c>
      <c r="D67" s="6">
        <v>5</v>
      </c>
      <c r="E67" s="6">
        <v>12</v>
      </c>
      <c r="F67" s="6">
        <v>16</v>
      </c>
      <c r="G67" s="6">
        <v>6</v>
      </c>
      <c r="H67" s="6">
        <v>24</v>
      </c>
      <c r="I67" s="6">
        <v>46</v>
      </c>
      <c r="J67" s="6">
        <v>48</v>
      </c>
      <c r="K67" s="6">
        <v>65</v>
      </c>
      <c r="L67" s="6">
        <v>43</v>
      </c>
      <c r="M67" s="6">
        <v>49</v>
      </c>
    </row>
    <row r="68" spans="1:13" x14ac:dyDescent="0.2">
      <c r="A68" s="6" t="s">
        <v>96</v>
      </c>
      <c r="B68" s="6">
        <v>1</v>
      </c>
      <c r="C68" s="6">
        <v>4</v>
      </c>
      <c r="D68" s="6">
        <v>2</v>
      </c>
      <c r="E68" s="6">
        <v>7</v>
      </c>
      <c r="F68" s="6">
        <v>5</v>
      </c>
      <c r="G68" s="6">
        <v>9</v>
      </c>
      <c r="H68" s="6">
        <v>8</v>
      </c>
      <c r="I68" s="6">
        <v>27</v>
      </c>
      <c r="J68" s="6">
        <v>17</v>
      </c>
      <c r="K68" s="6">
        <v>23</v>
      </c>
      <c r="L68" s="6">
        <v>29</v>
      </c>
      <c r="M68" s="6">
        <v>20</v>
      </c>
    </row>
    <row r="69" spans="1:13" x14ac:dyDescent="0.2">
      <c r="A69" s="6" t="s">
        <v>55</v>
      </c>
      <c r="B69" s="6">
        <v>1</v>
      </c>
      <c r="C69" s="6">
        <v>3</v>
      </c>
      <c r="D69" s="6">
        <v>1</v>
      </c>
      <c r="E69" s="6">
        <v>12</v>
      </c>
      <c r="F69" s="6">
        <v>1</v>
      </c>
      <c r="G69" s="6">
        <v>1</v>
      </c>
      <c r="H69" s="6">
        <v>2</v>
      </c>
      <c r="I69" s="6">
        <v>6</v>
      </c>
      <c r="J69" s="6">
        <v>7</v>
      </c>
      <c r="K69" s="6">
        <v>6</v>
      </c>
      <c r="L69" s="6">
        <v>9</v>
      </c>
      <c r="M69" s="6">
        <v>2</v>
      </c>
    </row>
    <row r="70" spans="1:13" x14ac:dyDescent="0.2">
      <c r="A70" s="24"/>
      <c r="B70" s="24">
        <f>SUBTOTAL(109,ML[Jan])</f>
        <v>158</v>
      </c>
      <c r="C70" s="24">
        <f>SUBTOTAL(109,ML[Fev])</f>
        <v>161</v>
      </c>
      <c r="D70" s="24">
        <f>SUBTOTAL(109,ML[Mar])</f>
        <v>118</v>
      </c>
      <c r="E70" s="24">
        <f>SUBTOTAL(109,ML[Abr])</f>
        <v>194</v>
      </c>
      <c r="F70" s="24">
        <f>SUBTOTAL(109,ML[Mai])</f>
        <v>223</v>
      </c>
      <c r="G70" s="24">
        <f>SUBTOTAL(109,ML[Jun])</f>
        <v>223</v>
      </c>
      <c r="H70" s="24">
        <f>SUBTOTAL(109,ML[Jul])</f>
        <v>328</v>
      </c>
      <c r="I70" s="24">
        <f>SUBTOTAL(109,ML[Ago])</f>
        <v>604</v>
      </c>
      <c r="J70" s="24">
        <f>SUBTOTAL(109,ML[Set])</f>
        <v>595</v>
      </c>
      <c r="K70" s="24">
        <f>SUBTOTAL(109,ML[Out])</f>
        <v>723</v>
      </c>
      <c r="L70" s="24">
        <f>SUBTOTAL(109,ML[Nov])</f>
        <v>681</v>
      </c>
      <c r="M70" s="24">
        <f>SUBTOTAL(109,ML[Dez])</f>
        <v>610</v>
      </c>
    </row>
    <row r="72" spans="1:13" x14ac:dyDescent="0.2">
      <c r="A72" s="51" t="s">
        <v>97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3"/>
    </row>
    <row r="73" spans="1:13" x14ac:dyDescent="0.2">
      <c r="A73" s="23" t="s">
        <v>97</v>
      </c>
      <c r="B73" s="23" t="s">
        <v>40</v>
      </c>
      <c r="C73" s="23" t="s">
        <v>41</v>
      </c>
      <c r="D73" s="23" t="s">
        <v>42</v>
      </c>
      <c r="E73" s="23" t="s">
        <v>43</v>
      </c>
      <c r="F73" s="23" t="s">
        <v>44</v>
      </c>
      <c r="G73" s="23" t="s">
        <v>45</v>
      </c>
      <c r="H73" s="23" t="s">
        <v>46</v>
      </c>
      <c r="I73" s="23" t="s">
        <v>47</v>
      </c>
      <c r="J73" s="23" t="s">
        <v>48</v>
      </c>
      <c r="K73" s="23" t="s">
        <v>49</v>
      </c>
      <c r="L73" s="23" t="s">
        <v>50</v>
      </c>
      <c r="M73" s="23" t="s">
        <v>51</v>
      </c>
    </row>
    <row r="74" spans="1:13" x14ac:dyDescent="0.2">
      <c r="A74" s="6" t="s">
        <v>93</v>
      </c>
      <c r="B74" s="6">
        <v>49</v>
      </c>
      <c r="C74" s="6">
        <v>47</v>
      </c>
      <c r="D74" s="6">
        <v>28</v>
      </c>
      <c r="E74" s="6">
        <v>43</v>
      </c>
      <c r="F74" s="6">
        <v>39</v>
      </c>
      <c r="G74" s="6">
        <v>56</v>
      </c>
      <c r="H74" s="6">
        <v>51</v>
      </c>
      <c r="I74" s="6">
        <v>68</v>
      </c>
      <c r="J74" s="6">
        <v>100</v>
      </c>
      <c r="K74" s="6">
        <v>115</v>
      </c>
      <c r="L74" s="6">
        <v>113</v>
      </c>
      <c r="M74" s="6">
        <v>120</v>
      </c>
    </row>
    <row r="75" spans="1:13" x14ac:dyDescent="0.2">
      <c r="A75" s="6" t="s">
        <v>94</v>
      </c>
      <c r="B75" s="6">
        <v>20</v>
      </c>
      <c r="C75" s="6">
        <v>17</v>
      </c>
      <c r="D75" s="6">
        <v>16</v>
      </c>
      <c r="E75" s="6">
        <v>27</v>
      </c>
      <c r="F75" s="6">
        <v>39</v>
      </c>
      <c r="G75" s="6">
        <v>29</v>
      </c>
      <c r="H75" s="6">
        <v>33</v>
      </c>
      <c r="I75" s="6">
        <v>54</v>
      </c>
      <c r="J75" s="6">
        <v>62</v>
      </c>
      <c r="K75" s="6">
        <v>71</v>
      </c>
      <c r="L75" s="6">
        <v>71</v>
      </c>
      <c r="M75" s="6">
        <v>49</v>
      </c>
    </row>
    <row r="76" spans="1:13" x14ac:dyDescent="0.2">
      <c r="A76" s="6" t="s">
        <v>95</v>
      </c>
      <c r="B76" s="6">
        <v>1</v>
      </c>
      <c r="C76" s="6">
        <v>2</v>
      </c>
      <c r="D76" s="6">
        <v>2</v>
      </c>
      <c r="E76" s="6">
        <v>1</v>
      </c>
      <c r="F76" s="6">
        <v>5</v>
      </c>
      <c r="G76" s="6">
        <v>2</v>
      </c>
      <c r="H76" s="6">
        <v>4</v>
      </c>
      <c r="I76" s="6">
        <v>9</v>
      </c>
      <c r="J76" s="6">
        <v>5</v>
      </c>
      <c r="K76" s="6">
        <v>6</v>
      </c>
      <c r="L76" s="6">
        <v>7</v>
      </c>
      <c r="M76" s="6">
        <v>7</v>
      </c>
    </row>
    <row r="77" spans="1:13" x14ac:dyDescent="0.2">
      <c r="A77" s="6" t="s">
        <v>98</v>
      </c>
      <c r="B77" s="6">
        <v>0</v>
      </c>
      <c r="C77" s="6">
        <v>0</v>
      </c>
      <c r="D77" s="6">
        <v>2</v>
      </c>
      <c r="E77" s="6">
        <v>0</v>
      </c>
      <c r="F77" s="6">
        <v>2</v>
      </c>
      <c r="G77" s="6">
        <v>2</v>
      </c>
      <c r="H77" s="6">
        <v>3</v>
      </c>
      <c r="I77" s="6">
        <v>1</v>
      </c>
      <c r="J77" s="6">
        <v>2</v>
      </c>
      <c r="K77" s="6">
        <v>2</v>
      </c>
      <c r="L77" s="6">
        <v>1</v>
      </c>
      <c r="M77" s="6">
        <v>3</v>
      </c>
    </row>
    <row r="78" spans="1:13" x14ac:dyDescent="0.2">
      <c r="A78" s="6" t="s">
        <v>99</v>
      </c>
      <c r="B78" s="6">
        <v>17</v>
      </c>
      <c r="C78" s="6">
        <v>3</v>
      </c>
      <c r="D78" s="6">
        <v>3</v>
      </c>
      <c r="E78" s="6">
        <v>9</v>
      </c>
      <c r="F78" s="6">
        <v>12</v>
      </c>
      <c r="G78" s="6">
        <v>15</v>
      </c>
      <c r="H78" s="6">
        <v>4</v>
      </c>
      <c r="I78" s="6">
        <v>16</v>
      </c>
      <c r="J78" s="6">
        <v>15</v>
      </c>
      <c r="K78" s="6">
        <v>19</v>
      </c>
      <c r="L78" s="6">
        <v>16</v>
      </c>
      <c r="M78" s="6">
        <v>14</v>
      </c>
    </row>
    <row r="79" spans="1:13" x14ac:dyDescent="0.2">
      <c r="A79" s="6" t="s">
        <v>100</v>
      </c>
      <c r="B79" s="6">
        <v>4</v>
      </c>
      <c r="C79" s="6">
        <v>2</v>
      </c>
      <c r="D79" s="6">
        <v>13</v>
      </c>
      <c r="E79" s="6">
        <v>7</v>
      </c>
      <c r="F79" s="6">
        <v>8</v>
      </c>
      <c r="G79" s="6">
        <v>11</v>
      </c>
      <c r="H79" s="6">
        <v>9</v>
      </c>
      <c r="I79" s="6">
        <v>23</v>
      </c>
      <c r="J79" s="6">
        <v>23</v>
      </c>
      <c r="K79" s="6">
        <v>22</v>
      </c>
      <c r="L79" s="6">
        <v>30</v>
      </c>
      <c r="M79" s="6">
        <v>23</v>
      </c>
    </row>
    <row r="80" spans="1:13" x14ac:dyDescent="0.2">
      <c r="A80" s="6" t="s">
        <v>101</v>
      </c>
      <c r="B80" s="6">
        <v>4</v>
      </c>
      <c r="C80" s="6">
        <v>3</v>
      </c>
      <c r="D80" s="6">
        <v>4</v>
      </c>
      <c r="E80" s="6">
        <v>2</v>
      </c>
      <c r="F80" s="6">
        <v>1</v>
      </c>
      <c r="G80" s="6">
        <v>6</v>
      </c>
      <c r="H80" s="6">
        <v>12</v>
      </c>
      <c r="I80" s="6">
        <v>8</v>
      </c>
      <c r="J80" s="6">
        <v>8</v>
      </c>
      <c r="K80" s="6">
        <v>7</v>
      </c>
      <c r="L80" s="6">
        <v>14</v>
      </c>
      <c r="M80" s="6">
        <v>5</v>
      </c>
    </row>
    <row r="81" spans="1:13" x14ac:dyDescent="0.2">
      <c r="A81" s="6" t="s">
        <v>102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</row>
    <row r="82" spans="1:13" x14ac:dyDescent="0.2">
      <c r="A82" s="6" t="s">
        <v>103</v>
      </c>
      <c r="B82" s="6">
        <v>0</v>
      </c>
      <c r="C82" s="6">
        <v>1</v>
      </c>
      <c r="D82" s="6">
        <v>0</v>
      </c>
      <c r="E82" s="6">
        <v>0</v>
      </c>
      <c r="F82" s="6">
        <v>0</v>
      </c>
      <c r="G82" s="6">
        <v>0</v>
      </c>
      <c r="H82" s="6">
        <v>1</v>
      </c>
      <c r="I82" s="6">
        <v>1</v>
      </c>
      <c r="J82" s="6">
        <v>0</v>
      </c>
      <c r="K82" s="6">
        <v>1</v>
      </c>
      <c r="L82" s="6">
        <v>0</v>
      </c>
      <c r="M82" s="6">
        <v>1</v>
      </c>
    </row>
    <row r="83" spans="1:13" x14ac:dyDescent="0.2">
      <c r="A83" s="6" t="s">
        <v>104</v>
      </c>
      <c r="B83" s="6">
        <v>0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</row>
    <row r="84" spans="1:13" x14ac:dyDescent="0.2">
      <c r="A84" s="6" t="s">
        <v>90</v>
      </c>
      <c r="B84" s="6">
        <v>44</v>
      </c>
      <c r="C84" s="6">
        <v>65</v>
      </c>
      <c r="D84" s="6">
        <v>42</v>
      </c>
      <c r="E84" s="6">
        <v>71</v>
      </c>
      <c r="F84" s="6">
        <v>93</v>
      </c>
      <c r="G84" s="6">
        <v>81</v>
      </c>
      <c r="H84" s="6">
        <v>172</v>
      </c>
      <c r="I84" s="6">
        <v>353</v>
      </c>
      <c r="J84" s="6">
        <v>288</v>
      </c>
      <c r="K84" s="6">
        <v>376</v>
      </c>
      <c r="L84" s="6">
        <v>360</v>
      </c>
      <c r="M84" s="6">
        <v>321</v>
      </c>
    </row>
    <row r="85" spans="1:13" x14ac:dyDescent="0.2">
      <c r="A85" s="6" t="s">
        <v>55</v>
      </c>
      <c r="B85" s="6">
        <v>19</v>
      </c>
      <c r="C85" s="6">
        <v>20</v>
      </c>
      <c r="D85" s="6">
        <v>7</v>
      </c>
      <c r="E85" s="6">
        <v>34</v>
      </c>
      <c r="F85" s="6">
        <v>21</v>
      </c>
      <c r="G85" s="6">
        <v>20</v>
      </c>
      <c r="H85" s="6">
        <v>38</v>
      </c>
      <c r="I85" s="6">
        <v>70</v>
      </c>
      <c r="J85" s="6">
        <v>90</v>
      </c>
      <c r="K85" s="6">
        <v>99</v>
      </c>
      <c r="L85" s="6">
        <v>69</v>
      </c>
      <c r="M85" s="6">
        <v>67</v>
      </c>
    </row>
    <row r="86" spans="1:13" x14ac:dyDescent="0.2">
      <c r="A86" s="24"/>
      <c r="B86" s="24">
        <f>SUBTOTAL(109,OPA[Jan])</f>
        <v>158</v>
      </c>
      <c r="C86" s="24">
        <f>SUBTOTAL(109,OPA[Fev])</f>
        <v>161</v>
      </c>
      <c r="D86" s="24">
        <f>SUBTOTAL(109,OPA[Mar])</f>
        <v>117</v>
      </c>
      <c r="E86" s="24">
        <f>SUBTOTAL(109,OPA[Abr])</f>
        <v>194</v>
      </c>
      <c r="F86" s="24">
        <f>SUBTOTAL(109,OPA[Mai])</f>
        <v>220</v>
      </c>
      <c r="G86" s="24">
        <f>SUBTOTAL(109,OPA[Jun])</f>
        <v>222</v>
      </c>
      <c r="H86" s="24">
        <f>SUBTOTAL(109,OPA[Jul])</f>
        <v>327</v>
      </c>
      <c r="I86" s="24">
        <f>SUBTOTAL(109,OPA[Ago])</f>
        <v>603</v>
      </c>
      <c r="J86" s="24">
        <f>SUBTOTAL(109,OPA[Set])</f>
        <v>593</v>
      </c>
      <c r="K86" s="24">
        <f>SUBTOTAL(109,OPA[Out])</f>
        <v>718</v>
      </c>
      <c r="L86" s="24">
        <f>SUBTOTAL(109,OPA[Nov])</f>
        <v>681</v>
      </c>
      <c r="M86" s="24">
        <f>SUBTOTAL(109,OPA[Dez])</f>
        <v>610</v>
      </c>
    </row>
    <row r="88" spans="1:13" x14ac:dyDescent="0.2">
      <c r="A88" s="51" t="s">
        <v>105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</row>
    <row r="89" spans="1:13" x14ac:dyDescent="0.2">
      <c r="A89" s="23" t="s">
        <v>105</v>
      </c>
      <c r="B89" s="23" t="s">
        <v>40</v>
      </c>
      <c r="C89" s="23" t="s">
        <v>41</v>
      </c>
      <c r="D89" s="23" t="s">
        <v>42</v>
      </c>
      <c r="E89" s="23" t="s">
        <v>43</v>
      </c>
      <c r="F89" s="23" t="s">
        <v>44</v>
      </c>
      <c r="G89" s="23" t="s">
        <v>45</v>
      </c>
      <c r="H89" s="23" t="s">
        <v>46</v>
      </c>
      <c r="I89" s="23" t="s">
        <v>47</v>
      </c>
      <c r="J89" s="23" t="s">
        <v>48</v>
      </c>
      <c r="K89" s="23" t="s">
        <v>49</v>
      </c>
      <c r="L89" s="23" t="s">
        <v>50</v>
      </c>
      <c r="M89" s="23" t="s">
        <v>51</v>
      </c>
    </row>
    <row r="90" spans="1:13" x14ac:dyDescent="0.2">
      <c r="A90" s="6" t="s">
        <v>106</v>
      </c>
      <c r="B90" s="6">
        <v>105</v>
      </c>
      <c r="C90" s="6">
        <v>98</v>
      </c>
      <c r="D90" s="6">
        <v>28</v>
      </c>
      <c r="E90" s="6">
        <v>126</v>
      </c>
      <c r="F90" s="6">
        <v>137</v>
      </c>
      <c r="G90" s="6">
        <v>106</v>
      </c>
      <c r="H90" s="6">
        <v>222</v>
      </c>
      <c r="I90" s="6">
        <v>454</v>
      </c>
      <c r="J90" s="6">
        <v>474</v>
      </c>
      <c r="K90" s="6">
        <v>587</v>
      </c>
      <c r="L90" s="6">
        <v>557</v>
      </c>
      <c r="M90" s="6">
        <v>505</v>
      </c>
    </row>
    <row r="91" spans="1:13" x14ac:dyDescent="0.2">
      <c r="A91" s="6" t="s">
        <v>107</v>
      </c>
      <c r="B91" s="6">
        <v>0</v>
      </c>
      <c r="C91" s="6">
        <v>1</v>
      </c>
      <c r="D91" s="6">
        <v>0</v>
      </c>
      <c r="E91" s="6">
        <v>1</v>
      </c>
      <c r="F91" s="6">
        <v>0</v>
      </c>
      <c r="G91" s="6">
        <v>0</v>
      </c>
      <c r="H91" s="6">
        <v>0</v>
      </c>
      <c r="I91" s="6">
        <v>0</v>
      </c>
      <c r="J91" s="6">
        <v>1</v>
      </c>
      <c r="K91" s="6">
        <v>3</v>
      </c>
      <c r="L91" s="6">
        <v>0</v>
      </c>
      <c r="M91" s="6">
        <v>0</v>
      </c>
    </row>
    <row r="92" spans="1:13" x14ac:dyDescent="0.2">
      <c r="A92" s="6" t="s">
        <v>108</v>
      </c>
      <c r="B92" s="6">
        <v>51</v>
      </c>
      <c r="C92" s="6">
        <v>54</v>
      </c>
      <c r="D92" s="6">
        <v>76</v>
      </c>
      <c r="E92" s="6">
        <v>61</v>
      </c>
      <c r="F92" s="6">
        <v>83</v>
      </c>
      <c r="G92" s="6">
        <v>111</v>
      </c>
      <c r="H92" s="6">
        <v>95</v>
      </c>
      <c r="I92" s="6">
        <v>129</v>
      </c>
      <c r="J92" s="6">
        <v>98</v>
      </c>
      <c r="K92" s="6">
        <v>111</v>
      </c>
      <c r="L92" s="6">
        <v>113</v>
      </c>
      <c r="M92" s="6">
        <v>93</v>
      </c>
    </row>
    <row r="93" spans="1:13" x14ac:dyDescent="0.2">
      <c r="A93" s="6" t="s">
        <v>109</v>
      </c>
      <c r="B93" s="6">
        <v>0</v>
      </c>
      <c r="C93" s="6">
        <v>2</v>
      </c>
      <c r="D93" s="6">
        <v>0</v>
      </c>
      <c r="E93" s="6">
        <v>1</v>
      </c>
      <c r="F93" s="6">
        <v>1</v>
      </c>
      <c r="G93" s="6">
        <v>2</v>
      </c>
      <c r="H93" s="6">
        <v>1</v>
      </c>
      <c r="I93" s="6">
        <v>4</v>
      </c>
      <c r="J93" s="6">
        <v>2</v>
      </c>
      <c r="K93" s="6">
        <v>3</v>
      </c>
      <c r="L93" s="6">
        <v>2</v>
      </c>
      <c r="M93" s="6">
        <v>0</v>
      </c>
    </row>
    <row r="94" spans="1:13" x14ac:dyDescent="0.2">
      <c r="A94" s="6" t="s">
        <v>110</v>
      </c>
      <c r="B94" s="6">
        <v>0</v>
      </c>
      <c r="C94" s="6">
        <v>2</v>
      </c>
      <c r="D94" s="6">
        <v>1</v>
      </c>
      <c r="E94" s="6">
        <v>2</v>
      </c>
      <c r="F94" s="6">
        <v>0</v>
      </c>
      <c r="G94" s="6">
        <v>0</v>
      </c>
      <c r="H94" s="6">
        <v>1</v>
      </c>
      <c r="I94" s="6">
        <v>3</v>
      </c>
      <c r="J94" s="6">
        <v>4</v>
      </c>
      <c r="K94" s="6">
        <v>5</v>
      </c>
      <c r="L94" s="6">
        <v>1</v>
      </c>
      <c r="M94" s="6">
        <v>3</v>
      </c>
    </row>
    <row r="95" spans="1:13" x14ac:dyDescent="0.2">
      <c r="A95" s="6" t="s">
        <v>111</v>
      </c>
      <c r="B95" s="6">
        <v>1</v>
      </c>
      <c r="C95" s="6">
        <v>2</v>
      </c>
      <c r="D95" s="6">
        <v>2</v>
      </c>
      <c r="E95" s="6">
        <v>1</v>
      </c>
      <c r="F95" s="6">
        <v>1</v>
      </c>
      <c r="G95" s="6">
        <v>2</v>
      </c>
      <c r="H95" s="6">
        <v>3</v>
      </c>
      <c r="I95" s="6">
        <v>3</v>
      </c>
      <c r="J95" s="6">
        <v>2</v>
      </c>
      <c r="K95" s="6">
        <v>6</v>
      </c>
      <c r="L95" s="6">
        <v>3</v>
      </c>
      <c r="M95" s="6">
        <v>0</v>
      </c>
    </row>
    <row r="96" spans="1:13" x14ac:dyDescent="0.2">
      <c r="A96" s="6" t="s">
        <v>90</v>
      </c>
      <c r="B96" s="6">
        <v>0</v>
      </c>
      <c r="C96" s="6">
        <v>1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</row>
    <row r="97" spans="1:13" x14ac:dyDescent="0.2">
      <c r="A97" s="6" t="s">
        <v>55</v>
      </c>
      <c r="B97" s="6">
        <v>1</v>
      </c>
      <c r="C97" s="6">
        <v>1</v>
      </c>
      <c r="D97" s="6">
        <v>11</v>
      </c>
      <c r="E97" s="6">
        <v>2</v>
      </c>
      <c r="F97" s="6">
        <v>1</v>
      </c>
      <c r="G97" s="6">
        <v>2</v>
      </c>
      <c r="H97" s="6">
        <v>6</v>
      </c>
      <c r="I97" s="6">
        <v>11</v>
      </c>
      <c r="J97" s="6">
        <v>14</v>
      </c>
      <c r="K97" s="6">
        <v>8</v>
      </c>
      <c r="L97" s="6">
        <v>5</v>
      </c>
      <c r="M97" s="6">
        <v>9</v>
      </c>
    </row>
    <row r="98" spans="1:13" x14ac:dyDescent="0.2">
      <c r="A98" s="24"/>
      <c r="B98" s="24">
        <f>SUBTOTAL(109,EVO[Jan])</f>
        <v>158</v>
      </c>
      <c r="C98" s="24">
        <f>SUBTOTAL(109,EVO[Fev])</f>
        <v>161</v>
      </c>
      <c r="D98" s="24">
        <f>SUBTOTAL(109,EVO[Mar])</f>
        <v>118</v>
      </c>
      <c r="E98" s="24">
        <f>SUBTOTAL(109,EVO[Abr])</f>
        <v>194</v>
      </c>
      <c r="F98" s="24">
        <f>SUBTOTAL(109,EVO[Mai])</f>
        <v>223</v>
      </c>
      <c r="G98" s="24">
        <f>SUBTOTAL(109,EVO[Jun])</f>
        <v>223</v>
      </c>
      <c r="H98" s="24">
        <f>SUBTOTAL(109,EVO[Jul])</f>
        <v>328</v>
      </c>
      <c r="I98" s="24">
        <f>SUBTOTAL(109,EVO[Ago])</f>
        <v>604</v>
      </c>
      <c r="J98" s="24">
        <f>SUBTOTAL(109,EVO[Set])</f>
        <v>595</v>
      </c>
      <c r="K98" s="24">
        <f>SUBTOTAL(109,EVO[Out])</f>
        <v>723</v>
      </c>
      <c r="L98" s="24">
        <f>SUBTOTAL(109,EVO[Nov])</f>
        <v>681</v>
      </c>
      <c r="M98" s="24">
        <f>SUBTOTAL(109,EVO[Dez])</f>
        <v>610</v>
      </c>
    </row>
  </sheetData>
  <mergeCells count="10">
    <mergeCell ref="A53:M53"/>
    <mergeCell ref="A62:M62"/>
    <mergeCell ref="A72:M72"/>
    <mergeCell ref="A88:M88"/>
    <mergeCell ref="A1:M1"/>
    <mergeCell ref="A5:M5"/>
    <mergeCell ref="A12:M12"/>
    <mergeCell ref="A23:M23"/>
    <mergeCell ref="A32:M32"/>
    <mergeCell ref="A41:M41"/>
  </mergeCells>
  <pageMargins left="0.511811024" right="0.511811024" top="0.78740157499999996" bottom="0.78740157499999996" header="0.31496062000000002" footer="0.31496062000000002"/>
  <pageSetup paperSize="9" orientation="portrait" verticalDpi="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zoomScaleNormal="100" workbookViewId="0">
      <selection sqref="A1:M1"/>
    </sheetView>
  </sheetViews>
  <sheetFormatPr defaultRowHeight="11.25" x14ac:dyDescent="0.2"/>
  <cols>
    <col min="1" max="1" width="33.7109375" style="6" customWidth="1"/>
    <col min="2" max="16384" width="9.140625" style="6"/>
  </cols>
  <sheetData>
    <row r="1" spans="1:14" ht="15.75" x14ac:dyDescent="0.25">
      <c r="A1" s="54" t="s">
        <v>112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4" x14ac:dyDescent="0.2">
      <c r="A2" s="23" t="s">
        <v>39</v>
      </c>
      <c r="B2" s="23" t="s">
        <v>40</v>
      </c>
      <c r="C2" s="23" t="s">
        <v>41</v>
      </c>
      <c r="D2" s="23" t="s">
        <v>42</v>
      </c>
      <c r="E2" s="23" t="s">
        <v>43</v>
      </c>
      <c r="F2" s="23" t="s">
        <v>44</v>
      </c>
      <c r="G2" s="23" t="s">
        <v>45</v>
      </c>
      <c r="H2" s="23" t="s">
        <v>46</v>
      </c>
      <c r="I2" s="23" t="s">
        <v>47</v>
      </c>
      <c r="J2" s="23" t="s">
        <v>48</v>
      </c>
      <c r="K2" s="23" t="s">
        <v>49</v>
      </c>
      <c r="L2" s="23" t="s">
        <v>50</v>
      </c>
      <c r="M2" s="23" t="s">
        <v>51</v>
      </c>
    </row>
    <row r="3" spans="1:14" x14ac:dyDescent="0.2">
      <c r="A3" s="6" t="s">
        <v>52</v>
      </c>
      <c r="B3" s="6">
        <v>108</v>
      </c>
      <c r="C3" s="6">
        <v>126</v>
      </c>
      <c r="D3" s="6">
        <v>90</v>
      </c>
      <c r="E3" s="6">
        <v>137</v>
      </c>
      <c r="F3" s="6">
        <v>178</v>
      </c>
      <c r="G3" s="6">
        <v>175</v>
      </c>
      <c r="H3" s="6">
        <v>236</v>
      </c>
      <c r="I3" s="6">
        <v>448</v>
      </c>
      <c r="J3" s="6">
        <v>448</v>
      </c>
      <c r="K3" s="6">
        <v>548</v>
      </c>
      <c r="L3" s="6">
        <v>511</v>
      </c>
      <c r="M3" s="6">
        <v>468</v>
      </c>
    </row>
    <row r="5" spans="1:14" x14ac:dyDescent="0.2">
      <c r="A5" s="57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1:14" x14ac:dyDescent="0.2">
      <c r="A6" s="23" t="s">
        <v>36</v>
      </c>
      <c r="B6" s="23" t="s">
        <v>40</v>
      </c>
      <c r="C6" s="23" t="s">
        <v>41</v>
      </c>
      <c r="D6" s="23" t="s">
        <v>42</v>
      </c>
      <c r="E6" s="23" t="s">
        <v>43</v>
      </c>
      <c r="F6" s="23" t="s">
        <v>44</v>
      </c>
      <c r="G6" s="23" t="s">
        <v>45</v>
      </c>
      <c r="H6" s="23" t="s">
        <v>46</v>
      </c>
      <c r="I6" s="23" t="s">
        <v>47</v>
      </c>
      <c r="J6" s="23" t="s">
        <v>48</v>
      </c>
      <c r="K6" s="23" t="s">
        <v>49</v>
      </c>
      <c r="L6" s="23" t="s">
        <v>50</v>
      </c>
      <c r="M6" s="23" t="s">
        <v>51</v>
      </c>
    </row>
    <row r="7" spans="1:14" x14ac:dyDescent="0.2">
      <c r="A7" s="6" t="s">
        <v>53</v>
      </c>
      <c r="B7" s="6">
        <v>83</v>
      </c>
      <c r="C7" s="6">
        <v>100</v>
      </c>
      <c r="D7" s="6">
        <v>70</v>
      </c>
      <c r="E7" s="6">
        <v>118</v>
      </c>
      <c r="F7" s="6">
        <v>135</v>
      </c>
      <c r="G7" s="6">
        <v>144</v>
      </c>
      <c r="H7" s="6">
        <v>188</v>
      </c>
      <c r="I7" s="6">
        <v>347</v>
      </c>
      <c r="J7" s="6">
        <v>345</v>
      </c>
      <c r="K7" s="7">
        <v>404</v>
      </c>
      <c r="L7" s="6">
        <v>397</v>
      </c>
      <c r="M7" s="6">
        <v>354</v>
      </c>
    </row>
    <row r="8" spans="1:14" x14ac:dyDescent="0.2">
      <c r="A8" s="6" t="s">
        <v>54</v>
      </c>
      <c r="B8" s="6">
        <v>25</v>
      </c>
      <c r="C8" s="6">
        <v>26</v>
      </c>
      <c r="D8" s="6">
        <v>20</v>
      </c>
      <c r="E8" s="6">
        <v>19</v>
      </c>
      <c r="F8" s="6">
        <v>42</v>
      </c>
      <c r="G8" s="6">
        <v>31</v>
      </c>
      <c r="H8" s="6">
        <v>48</v>
      </c>
      <c r="I8" s="6">
        <v>97</v>
      </c>
      <c r="J8" s="6">
        <v>99</v>
      </c>
      <c r="K8" s="7">
        <v>138</v>
      </c>
      <c r="L8" s="6">
        <v>109</v>
      </c>
      <c r="M8" s="6">
        <v>112</v>
      </c>
    </row>
    <row r="9" spans="1:14" x14ac:dyDescent="0.2">
      <c r="A9" s="6" t="s">
        <v>55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4</v>
      </c>
      <c r="J9" s="6">
        <v>4</v>
      </c>
      <c r="K9" s="7">
        <v>6</v>
      </c>
      <c r="L9" s="6">
        <v>5</v>
      </c>
      <c r="M9" s="6">
        <v>2</v>
      </c>
    </row>
    <row r="10" spans="1:14" x14ac:dyDescent="0.2">
      <c r="A10" s="24"/>
      <c r="B10" s="24">
        <f>SUBTOTAL(109,SEXO_M[Jan])</f>
        <v>108</v>
      </c>
      <c r="C10" s="24">
        <f>SUBTOTAL(109,SEXO_M[Fev])</f>
        <v>126</v>
      </c>
      <c r="D10" s="24">
        <f>SUBTOTAL(109,SEXO_M[Mar])</f>
        <v>90</v>
      </c>
      <c r="E10" s="24">
        <f>SUBTOTAL(109,SEXO_M[Abr])</f>
        <v>137</v>
      </c>
      <c r="F10" s="24">
        <f>SUBTOTAL(109,SEXO_M[Mai])</f>
        <v>178</v>
      </c>
      <c r="G10" s="24">
        <f>SUBTOTAL(109,SEXO_M[Jun])</f>
        <v>175</v>
      </c>
      <c r="H10" s="24">
        <f>SUBTOTAL(109,SEXO_M[Jul])</f>
        <v>236</v>
      </c>
      <c r="I10" s="24">
        <f>SUBTOTAL(109,SEXO_M[Ago])</f>
        <v>448</v>
      </c>
      <c r="J10" s="24">
        <f>SUBTOTAL(109,SEXO_M[Set])</f>
        <v>448</v>
      </c>
      <c r="K10" s="24">
        <f>SUBTOTAL(109,SEXO_M[Out])</f>
        <v>548</v>
      </c>
      <c r="L10" s="24">
        <f>SUBTOTAL(109,SEXO_M[Nov])</f>
        <v>511</v>
      </c>
      <c r="M10" s="24">
        <f>SUBTOTAL(109,SEXO_M[Dez])</f>
        <v>468</v>
      </c>
    </row>
    <row r="11" spans="1:14" x14ac:dyDescent="0.2">
      <c r="K11" s="8"/>
    </row>
    <row r="12" spans="1:14" x14ac:dyDescent="0.2">
      <c r="A12" s="51" t="s">
        <v>56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9"/>
    </row>
    <row r="13" spans="1:14" x14ac:dyDescent="0.2">
      <c r="A13" s="23" t="s">
        <v>56</v>
      </c>
      <c r="B13" s="23" t="s">
        <v>40</v>
      </c>
      <c r="C13" s="23" t="s">
        <v>41</v>
      </c>
      <c r="D13" s="23" t="s">
        <v>42</v>
      </c>
      <c r="E13" s="23" t="s">
        <v>43</v>
      </c>
      <c r="F13" s="23" t="s">
        <v>44</v>
      </c>
      <c r="G13" s="23" t="s">
        <v>45</v>
      </c>
      <c r="H13" s="23" t="s">
        <v>46</v>
      </c>
      <c r="I13" s="23" t="s">
        <v>47</v>
      </c>
      <c r="J13" s="23" t="s">
        <v>48</v>
      </c>
      <c r="K13" s="23" t="s">
        <v>49</v>
      </c>
      <c r="L13" s="23" t="s">
        <v>50</v>
      </c>
      <c r="M13" s="23" t="s">
        <v>51</v>
      </c>
      <c r="N13" s="9"/>
    </row>
    <row r="14" spans="1:14" x14ac:dyDescent="0.2">
      <c r="A14" s="10" t="s">
        <v>57</v>
      </c>
      <c r="B14" s="6">
        <v>44</v>
      </c>
      <c r="C14" s="6">
        <v>54</v>
      </c>
      <c r="D14" s="6">
        <v>38</v>
      </c>
      <c r="E14" s="6">
        <v>53</v>
      </c>
      <c r="F14" s="6">
        <v>72</v>
      </c>
      <c r="G14" s="6">
        <v>74</v>
      </c>
      <c r="H14" s="6">
        <v>73</v>
      </c>
      <c r="I14" s="6">
        <v>96</v>
      </c>
      <c r="J14" s="6">
        <v>135</v>
      </c>
      <c r="K14" s="6">
        <v>157</v>
      </c>
      <c r="L14" s="6">
        <v>156</v>
      </c>
      <c r="M14" s="6">
        <v>150</v>
      </c>
    </row>
    <row r="15" spans="1:14" x14ac:dyDescent="0.2">
      <c r="A15" s="10" t="s">
        <v>58</v>
      </c>
      <c r="B15" s="6">
        <v>4</v>
      </c>
      <c r="C15" s="6">
        <v>5</v>
      </c>
      <c r="D15" s="6">
        <v>10</v>
      </c>
      <c r="E15" s="6">
        <v>6</v>
      </c>
      <c r="F15" s="6">
        <v>7</v>
      </c>
      <c r="G15" s="6">
        <v>11</v>
      </c>
      <c r="H15" s="6">
        <v>7</v>
      </c>
      <c r="I15" s="6">
        <v>22</v>
      </c>
      <c r="J15" s="6">
        <v>21</v>
      </c>
      <c r="K15" s="6">
        <v>17</v>
      </c>
      <c r="L15" s="6">
        <v>24</v>
      </c>
      <c r="M15" s="6">
        <v>22</v>
      </c>
    </row>
    <row r="16" spans="1:14" x14ac:dyDescent="0.2">
      <c r="A16" s="11" t="s">
        <v>59</v>
      </c>
      <c r="B16" s="6">
        <v>25</v>
      </c>
      <c r="C16" s="6">
        <v>37</v>
      </c>
      <c r="D16" s="6">
        <v>33</v>
      </c>
      <c r="E16" s="6">
        <v>53</v>
      </c>
      <c r="F16" s="6">
        <v>78</v>
      </c>
      <c r="G16" s="6">
        <v>59</v>
      </c>
      <c r="H16" s="6">
        <v>79</v>
      </c>
      <c r="I16" s="6">
        <v>263</v>
      </c>
      <c r="J16" s="6">
        <v>205</v>
      </c>
      <c r="K16" s="6">
        <v>252</v>
      </c>
      <c r="L16" s="6">
        <v>238</v>
      </c>
      <c r="M16" s="6">
        <v>137</v>
      </c>
    </row>
    <row r="17" spans="1:14" x14ac:dyDescent="0.2">
      <c r="A17" s="10" t="s">
        <v>60</v>
      </c>
      <c r="B17" s="6">
        <v>2</v>
      </c>
      <c r="C17" s="6">
        <v>10</v>
      </c>
      <c r="D17" s="6">
        <v>1</v>
      </c>
      <c r="E17" s="6">
        <v>3</v>
      </c>
      <c r="F17" s="6">
        <v>0</v>
      </c>
      <c r="G17" s="6">
        <v>3</v>
      </c>
      <c r="H17" s="6">
        <v>51</v>
      </c>
      <c r="I17" s="6">
        <v>9</v>
      </c>
      <c r="J17" s="6">
        <v>20</v>
      </c>
      <c r="K17" s="6">
        <v>34</v>
      </c>
      <c r="L17" s="6">
        <v>34</v>
      </c>
      <c r="M17" s="6">
        <v>6</v>
      </c>
    </row>
    <row r="18" spans="1:14" x14ac:dyDescent="0.2">
      <c r="A18" s="10" t="s">
        <v>61</v>
      </c>
      <c r="B18" s="6">
        <v>17</v>
      </c>
      <c r="C18" s="6">
        <v>2</v>
      </c>
      <c r="D18" s="6">
        <v>3</v>
      </c>
      <c r="E18" s="6">
        <v>9</v>
      </c>
      <c r="F18" s="6">
        <v>11</v>
      </c>
      <c r="G18" s="6">
        <v>13</v>
      </c>
      <c r="H18" s="6">
        <v>4</v>
      </c>
      <c r="I18" s="6">
        <v>10</v>
      </c>
      <c r="J18" s="6">
        <v>8</v>
      </c>
      <c r="K18" s="6">
        <v>12</v>
      </c>
      <c r="L18" s="6">
        <v>10</v>
      </c>
      <c r="M18" s="6">
        <v>13</v>
      </c>
    </row>
    <row r="19" spans="1:14" x14ac:dyDescent="0.2">
      <c r="A19" s="12" t="s">
        <v>62</v>
      </c>
      <c r="B19" s="6">
        <v>16</v>
      </c>
      <c r="C19" s="6">
        <v>18</v>
      </c>
      <c r="D19" s="6">
        <v>5</v>
      </c>
      <c r="E19" s="6">
        <v>13</v>
      </c>
      <c r="F19" s="6">
        <v>10</v>
      </c>
      <c r="G19" s="6">
        <v>13</v>
      </c>
      <c r="H19" s="6">
        <v>21</v>
      </c>
      <c r="I19" s="6">
        <v>46</v>
      </c>
      <c r="J19" s="6">
        <v>57</v>
      </c>
      <c r="K19" s="6">
        <v>63</v>
      </c>
      <c r="L19" s="6">
        <v>42</v>
      </c>
      <c r="M19" s="6">
        <v>38</v>
      </c>
    </row>
    <row r="20" spans="1:14" x14ac:dyDescent="0.2">
      <c r="A20" s="10" t="s">
        <v>63</v>
      </c>
      <c r="B20" s="6">
        <v>0</v>
      </c>
      <c r="C20" s="6">
        <v>0</v>
      </c>
      <c r="E20" s="6">
        <v>0</v>
      </c>
      <c r="F20" s="6">
        <v>0</v>
      </c>
      <c r="G20" s="6">
        <v>2</v>
      </c>
      <c r="H20" s="6">
        <v>1</v>
      </c>
      <c r="I20" s="6">
        <v>2</v>
      </c>
      <c r="J20" s="6">
        <v>2</v>
      </c>
      <c r="K20" s="6">
        <v>13</v>
      </c>
      <c r="L20" s="6">
        <v>7</v>
      </c>
      <c r="M20" s="6">
        <v>2</v>
      </c>
    </row>
    <row r="21" spans="1:14" x14ac:dyDescent="0.2">
      <c r="A21" s="25"/>
      <c r="B21" s="24">
        <f>SUBTOTAL(109,NA_M[Jan])</f>
        <v>108</v>
      </c>
      <c r="C21" s="24">
        <f>SUBTOTAL(109,NA_M[Fev])</f>
        <v>126</v>
      </c>
      <c r="D21" s="24">
        <f>SUBTOTAL(109,NA_M[Mar])</f>
        <v>90</v>
      </c>
      <c r="E21" s="24">
        <f>SUBTOTAL(109,NA_M[Abr])</f>
        <v>137</v>
      </c>
      <c r="F21" s="24">
        <f>SUBTOTAL(109,NA_M[Mai])</f>
        <v>178</v>
      </c>
      <c r="G21" s="24">
        <f>SUBTOTAL(109,NA_M[Jun])</f>
        <v>175</v>
      </c>
      <c r="H21" s="24">
        <f>SUBTOTAL(109,NA_M[Jul])</f>
        <v>236</v>
      </c>
      <c r="I21" s="24">
        <f>SUBTOTAL(109,NA_M[Ago])</f>
        <v>448</v>
      </c>
      <c r="J21" s="24">
        <f>SUBTOTAL(109,NA_M[Set])</f>
        <v>448</v>
      </c>
      <c r="K21" s="24">
        <f>SUBTOTAL(109,NA_M[Out])</f>
        <v>548</v>
      </c>
      <c r="L21" s="24">
        <f>SUBTOTAL(109,NA_M[Nov])</f>
        <v>511</v>
      </c>
      <c r="M21" s="24">
        <f>SUBTOTAL(109,NA_M[Dez])</f>
        <v>368</v>
      </c>
    </row>
    <row r="22" spans="1:14" x14ac:dyDescent="0.2">
      <c r="A22" s="10"/>
    </row>
    <row r="23" spans="1:14" x14ac:dyDescent="0.2">
      <c r="A23" s="51" t="s">
        <v>64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9"/>
    </row>
    <row r="24" spans="1:14" x14ac:dyDescent="0.2">
      <c r="A24" s="23" t="s">
        <v>65</v>
      </c>
      <c r="B24" s="23" t="s">
        <v>40</v>
      </c>
      <c r="C24" s="23" t="s">
        <v>41</v>
      </c>
      <c r="D24" s="23" t="s">
        <v>42</v>
      </c>
      <c r="E24" s="23" t="s">
        <v>43</v>
      </c>
      <c r="F24" s="23" t="s">
        <v>44</v>
      </c>
      <c r="G24" s="23" t="s">
        <v>45</v>
      </c>
      <c r="H24" s="23" t="s">
        <v>46</v>
      </c>
      <c r="I24" s="23" t="s">
        <v>47</v>
      </c>
      <c r="J24" s="23" t="s">
        <v>48</v>
      </c>
      <c r="K24" s="23" t="s">
        <v>49</v>
      </c>
      <c r="L24" s="23" t="s">
        <v>50</v>
      </c>
      <c r="M24" s="23" t="s">
        <v>51</v>
      </c>
      <c r="N24" s="9"/>
    </row>
    <row r="25" spans="1:14" x14ac:dyDescent="0.2">
      <c r="A25" s="13" t="s">
        <v>66</v>
      </c>
      <c r="B25" s="6">
        <v>7</v>
      </c>
      <c r="C25" s="6">
        <v>16</v>
      </c>
      <c r="D25" s="6">
        <v>24</v>
      </c>
      <c r="E25" s="6">
        <v>13</v>
      </c>
      <c r="F25" s="6">
        <v>22</v>
      </c>
      <c r="G25" s="6">
        <v>32</v>
      </c>
      <c r="H25" s="6">
        <v>40</v>
      </c>
      <c r="I25" s="6">
        <v>65</v>
      </c>
      <c r="J25" s="6">
        <v>66</v>
      </c>
      <c r="K25" s="6">
        <v>80</v>
      </c>
      <c r="L25" s="6">
        <v>59</v>
      </c>
      <c r="M25" s="6">
        <v>58</v>
      </c>
    </row>
    <row r="26" spans="1:14" x14ac:dyDescent="0.2">
      <c r="A26" s="13" t="s">
        <v>67</v>
      </c>
      <c r="B26" s="6">
        <v>38</v>
      </c>
      <c r="C26" s="6">
        <v>38</v>
      </c>
      <c r="D26" s="6">
        <v>31</v>
      </c>
      <c r="E26" s="6">
        <v>34</v>
      </c>
      <c r="F26" s="6">
        <v>61</v>
      </c>
      <c r="G26" s="6">
        <v>74</v>
      </c>
      <c r="H26" s="6">
        <v>58</v>
      </c>
      <c r="I26" s="6">
        <v>86</v>
      </c>
      <c r="J26" s="6">
        <v>101</v>
      </c>
      <c r="K26" s="6">
        <v>158</v>
      </c>
      <c r="L26" s="6">
        <v>142</v>
      </c>
      <c r="M26" s="6">
        <v>141</v>
      </c>
    </row>
    <row r="27" spans="1:14" x14ac:dyDescent="0.2">
      <c r="A27" s="9" t="s">
        <v>69</v>
      </c>
      <c r="B27" s="6">
        <v>20</v>
      </c>
      <c r="C27" s="6">
        <v>21</v>
      </c>
      <c r="D27" s="6">
        <v>20</v>
      </c>
      <c r="E27" s="6">
        <v>28</v>
      </c>
      <c r="F27" s="6">
        <v>34</v>
      </c>
      <c r="G27" s="6">
        <v>33</v>
      </c>
      <c r="H27" s="6">
        <v>38</v>
      </c>
      <c r="I27" s="6">
        <v>63</v>
      </c>
      <c r="J27" s="6">
        <v>71</v>
      </c>
      <c r="K27" s="6">
        <v>102</v>
      </c>
      <c r="L27" s="6">
        <v>89</v>
      </c>
      <c r="M27" s="6">
        <v>84</v>
      </c>
    </row>
    <row r="28" spans="1:14" ht="11.25" customHeight="1" x14ac:dyDescent="0.2">
      <c r="A28" s="13" t="s">
        <v>70</v>
      </c>
      <c r="B28" s="6">
        <v>19</v>
      </c>
      <c r="C28" s="6">
        <v>12</v>
      </c>
      <c r="D28" s="6">
        <v>23</v>
      </c>
      <c r="E28" s="6">
        <v>18</v>
      </c>
      <c r="F28" s="6">
        <v>37</v>
      </c>
      <c r="G28" s="6">
        <v>42</v>
      </c>
      <c r="H28" s="6">
        <v>33</v>
      </c>
      <c r="I28" s="6">
        <v>64</v>
      </c>
      <c r="J28" s="6">
        <v>64</v>
      </c>
      <c r="K28" s="6">
        <v>86</v>
      </c>
      <c r="L28" s="6">
        <v>72</v>
      </c>
      <c r="M28" s="6">
        <v>72</v>
      </c>
    </row>
    <row r="29" spans="1:14" ht="11.25" customHeight="1" x14ac:dyDescent="0.2">
      <c r="A29" s="31"/>
      <c r="B29" s="32">
        <f>SUBTOTAL(109,FRA_M[Jan])</f>
        <v>84</v>
      </c>
      <c r="C29" s="32">
        <f>SUBTOTAL(109,FRA_M[Fev])</f>
        <v>87</v>
      </c>
      <c r="D29" s="32">
        <f>SUBTOTAL(109,FRA_M[Mar])</f>
        <v>98</v>
      </c>
      <c r="E29" s="32">
        <f>SUBTOTAL(109,FRA_M[Abr])</f>
        <v>93</v>
      </c>
      <c r="F29" s="32">
        <f>SUBTOTAL(109,FRA_M[Mai])</f>
        <v>154</v>
      </c>
      <c r="G29" s="32">
        <f>SUBTOTAL(109,FRA_M[Jun])</f>
        <v>181</v>
      </c>
      <c r="H29" s="32">
        <f>SUBTOTAL(109,FRA_M[Jul])</f>
        <v>169</v>
      </c>
      <c r="I29" s="32">
        <f>SUBTOTAL(109,FRA_M[Ago])</f>
        <v>278</v>
      </c>
      <c r="J29" s="32">
        <f>SUBTOTAL(109,FRA_M[Set])</f>
        <v>302</v>
      </c>
      <c r="K29" s="32">
        <f>SUBTOTAL(109,FRA_M[Out])</f>
        <v>426</v>
      </c>
      <c r="L29" s="32">
        <f>SUBTOTAL(109,FRA_M[Nov])</f>
        <v>362</v>
      </c>
      <c r="M29" s="32">
        <f>SUBTOTAL(109,FRA_M[Dez])</f>
        <v>355</v>
      </c>
    </row>
    <row r="30" spans="1:14" ht="11.25" customHeight="1" x14ac:dyDescent="0.2">
      <c r="A30" s="13"/>
    </row>
    <row r="31" spans="1:14" x14ac:dyDescent="0.2">
      <c r="A31" s="51" t="s">
        <v>71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</row>
    <row r="32" spans="1:14" x14ac:dyDescent="0.2">
      <c r="A32" s="23" t="s">
        <v>71</v>
      </c>
      <c r="B32" s="23" t="s">
        <v>40</v>
      </c>
      <c r="C32" s="23" t="s">
        <v>41</v>
      </c>
      <c r="D32" s="23" t="s">
        <v>42</v>
      </c>
      <c r="E32" s="23" t="s">
        <v>43</v>
      </c>
      <c r="F32" s="23" t="s">
        <v>44</v>
      </c>
      <c r="G32" s="23" t="s">
        <v>45</v>
      </c>
      <c r="H32" s="23" t="s">
        <v>46</v>
      </c>
      <c r="I32" s="23" t="s">
        <v>47</v>
      </c>
      <c r="J32" s="23" t="s">
        <v>48</v>
      </c>
      <c r="K32" s="23" t="s">
        <v>49</v>
      </c>
      <c r="L32" s="23" t="s">
        <v>50</v>
      </c>
      <c r="M32" s="23" t="s">
        <v>51</v>
      </c>
    </row>
    <row r="33" spans="1:17" x14ac:dyDescent="0.2">
      <c r="A33" s="15" t="s">
        <v>72</v>
      </c>
      <c r="B33" s="6">
        <v>1</v>
      </c>
      <c r="C33" s="6">
        <v>0</v>
      </c>
      <c r="D33" s="6">
        <v>1</v>
      </c>
      <c r="E33" s="6">
        <v>4</v>
      </c>
      <c r="F33" s="6">
        <v>1</v>
      </c>
      <c r="G33" s="6">
        <v>3</v>
      </c>
      <c r="H33" s="6">
        <v>4</v>
      </c>
      <c r="I33" s="6">
        <v>11</v>
      </c>
      <c r="J33" s="6">
        <v>8</v>
      </c>
      <c r="K33" s="6">
        <v>13</v>
      </c>
      <c r="L33" s="6">
        <v>11</v>
      </c>
      <c r="M33" s="6">
        <v>12</v>
      </c>
    </row>
    <row r="34" spans="1:17" x14ac:dyDescent="0.2">
      <c r="A34" s="15" t="s">
        <v>73</v>
      </c>
      <c r="B34" s="6">
        <v>20</v>
      </c>
      <c r="C34" s="6">
        <v>27</v>
      </c>
      <c r="D34" s="6">
        <v>11</v>
      </c>
      <c r="E34" s="6">
        <v>27</v>
      </c>
      <c r="F34" s="6">
        <v>30</v>
      </c>
      <c r="G34" s="6">
        <v>17</v>
      </c>
      <c r="H34" s="6">
        <v>36</v>
      </c>
      <c r="I34" s="6">
        <v>67</v>
      </c>
      <c r="J34" s="6">
        <v>62</v>
      </c>
      <c r="K34" s="6">
        <v>81</v>
      </c>
      <c r="L34" s="6">
        <v>66</v>
      </c>
      <c r="M34" s="6">
        <v>75</v>
      </c>
    </row>
    <row r="35" spans="1:17" x14ac:dyDescent="0.2">
      <c r="A35" s="15" t="s">
        <v>74</v>
      </c>
      <c r="B35" s="6">
        <v>66</v>
      </c>
      <c r="C35" s="6">
        <v>79</v>
      </c>
      <c r="D35" s="6">
        <v>58</v>
      </c>
      <c r="E35" s="6">
        <v>81</v>
      </c>
      <c r="F35" s="6">
        <v>107</v>
      </c>
      <c r="G35" s="6">
        <v>120</v>
      </c>
      <c r="H35" s="6">
        <v>143</v>
      </c>
      <c r="I35" s="6">
        <v>288</v>
      </c>
      <c r="J35" s="6">
        <v>277</v>
      </c>
      <c r="K35" s="6">
        <v>341</v>
      </c>
      <c r="L35" s="6">
        <v>325</v>
      </c>
      <c r="M35" s="6">
        <v>285</v>
      </c>
    </row>
    <row r="36" spans="1:17" x14ac:dyDescent="0.2">
      <c r="A36" s="15" t="s">
        <v>75</v>
      </c>
      <c r="B36" s="6">
        <v>18</v>
      </c>
      <c r="C36" s="6">
        <v>17</v>
      </c>
      <c r="D36" s="6">
        <v>19</v>
      </c>
      <c r="E36" s="6">
        <v>21</v>
      </c>
      <c r="F36" s="6">
        <v>34</v>
      </c>
      <c r="G36" s="6">
        <v>32</v>
      </c>
      <c r="H36" s="6">
        <v>43</v>
      </c>
      <c r="I36" s="6">
        <v>75</v>
      </c>
      <c r="J36" s="6">
        <v>92</v>
      </c>
      <c r="K36" s="6">
        <v>104</v>
      </c>
      <c r="L36" s="6">
        <v>100</v>
      </c>
      <c r="M36" s="6">
        <v>83</v>
      </c>
    </row>
    <row r="37" spans="1:17" x14ac:dyDescent="0.2">
      <c r="A37" s="15" t="s">
        <v>76</v>
      </c>
      <c r="B37" s="6">
        <v>3</v>
      </c>
      <c r="C37" s="6">
        <v>3</v>
      </c>
      <c r="D37" s="6">
        <v>1</v>
      </c>
      <c r="E37" s="6">
        <v>4</v>
      </c>
      <c r="F37" s="6">
        <v>6</v>
      </c>
      <c r="G37" s="6">
        <v>3</v>
      </c>
      <c r="H37" s="6">
        <v>10</v>
      </c>
      <c r="I37" s="6">
        <v>7</v>
      </c>
      <c r="J37" s="6">
        <v>9</v>
      </c>
      <c r="K37" s="6">
        <v>9</v>
      </c>
      <c r="L37" s="6">
        <v>9</v>
      </c>
      <c r="M37" s="6">
        <v>13</v>
      </c>
    </row>
    <row r="38" spans="1:17" x14ac:dyDescent="0.2">
      <c r="A38" s="32"/>
      <c r="B38" s="24">
        <f>SUBTOTAL(109,FE_M[Jan])</f>
        <v>108</v>
      </c>
      <c r="C38" s="24">
        <f>SUBTOTAL(109,FE_M[Fev])</f>
        <v>126</v>
      </c>
      <c r="D38" s="24">
        <f>SUBTOTAL(109,FE_M[Mar])</f>
        <v>90</v>
      </c>
      <c r="E38" s="24">
        <f>SUBTOTAL(109,FE_M[Abr])</f>
        <v>137</v>
      </c>
      <c r="F38" s="24">
        <f>SUBTOTAL(109,FE_M[Mai])</f>
        <v>178</v>
      </c>
      <c r="G38" s="24">
        <f>SUBTOTAL(109,FE_M[Jun])</f>
        <v>175</v>
      </c>
      <c r="H38" s="24">
        <f>SUBTOTAL(109,FE_M[Jul])</f>
        <v>236</v>
      </c>
      <c r="I38" s="24">
        <f>SUBTOTAL(109,FE_M[Ago])</f>
        <v>448</v>
      </c>
      <c r="J38" s="24">
        <f>SUBTOTAL(109,FE_M[Set])</f>
        <v>448</v>
      </c>
      <c r="K38" s="24">
        <f>SUBTOTAL(109,FE_M[Out])</f>
        <v>548</v>
      </c>
      <c r="L38" s="24">
        <f>SUBTOTAL(109,FE_M[Nov])</f>
        <v>511</v>
      </c>
      <c r="M38" s="24">
        <f>SUBTOTAL(109,FE_M[Dez])</f>
        <v>468</v>
      </c>
    </row>
    <row r="39" spans="1:17" x14ac:dyDescent="0.2">
      <c r="A39" s="15"/>
    </row>
    <row r="40" spans="1:17" x14ac:dyDescent="0.2">
      <c r="A40" s="51" t="s">
        <v>77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</row>
    <row r="41" spans="1:17" x14ac:dyDescent="0.2">
      <c r="A41" s="23" t="s">
        <v>77</v>
      </c>
      <c r="B41" s="23" t="s">
        <v>40</v>
      </c>
      <c r="C41" s="23" t="s">
        <v>41</v>
      </c>
      <c r="D41" s="23" t="s">
        <v>42</v>
      </c>
      <c r="E41" s="23" t="s">
        <v>43</v>
      </c>
      <c r="F41" s="23" t="s">
        <v>44</v>
      </c>
      <c r="G41" s="23" t="s">
        <v>45</v>
      </c>
      <c r="H41" s="23" t="s">
        <v>46</v>
      </c>
      <c r="I41" s="23" t="s">
        <v>47</v>
      </c>
      <c r="J41" s="23" t="s">
        <v>48</v>
      </c>
      <c r="K41" s="23" t="s">
        <v>49</v>
      </c>
      <c r="L41" s="23" t="s">
        <v>50</v>
      </c>
      <c r="M41" s="23" t="s">
        <v>51</v>
      </c>
    </row>
    <row r="42" spans="1:17" x14ac:dyDescent="0.2">
      <c r="A42" s="6" t="s">
        <v>78</v>
      </c>
      <c r="B42" s="6">
        <v>28</v>
      </c>
      <c r="C42" s="6">
        <v>23</v>
      </c>
      <c r="D42" s="6">
        <v>11</v>
      </c>
      <c r="E42" s="6">
        <v>15</v>
      </c>
      <c r="F42" s="6">
        <v>34</v>
      </c>
      <c r="G42" s="6">
        <v>35</v>
      </c>
      <c r="H42" s="6">
        <v>35</v>
      </c>
      <c r="I42" s="6">
        <v>73</v>
      </c>
      <c r="J42" s="6">
        <v>60</v>
      </c>
      <c r="K42" s="6">
        <v>86</v>
      </c>
      <c r="L42" s="6">
        <v>104</v>
      </c>
      <c r="M42" s="6">
        <v>56</v>
      </c>
    </row>
    <row r="43" spans="1:17" x14ac:dyDescent="0.2">
      <c r="A43" s="6" t="s">
        <v>79</v>
      </c>
      <c r="B43" s="6">
        <v>24</v>
      </c>
      <c r="C43" s="6">
        <v>20</v>
      </c>
      <c r="D43" s="6">
        <v>14</v>
      </c>
      <c r="E43" s="6">
        <v>16</v>
      </c>
      <c r="F43" s="6">
        <v>18</v>
      </c>
      <c r="G43" s="6">
        <v>26</v>
      </c>
      <c r="H43" s="6">
        <v>26</v>
      </c>
      <c r="I43" s="6">
        <v>31</v>
      </c>
      <c r="J43" s="6">
        <v>59</v>
      </c>
      <c r="K43" s="6">
        <v>48</v>
      </c>
      <c r="L43" s="6">
        <v>66</v>
      </c>
      <c r="M43" s="6">
        <v>53</v>
      </c>
    </row>
    <row r="44" spans="1:17" x14ac:dyDescent="0.2">
      <c r="A44" s="6" t="s">
        <v>80</v>
      </c>
      <c r="B44" s="6">
        <v>7</v>
      </c>
      <c r="C44" s="6">
        <v>17</v>
      </c>
      <c r="D44" s="6">
        <v>14</v>
      </c>
      <c r="E44" s="6">
        <v>17</v>
      </c>
      <c r="F44" s="6">
        <v>29</v>
      </c>
      <c r="G44" s="6">
        <v>17</v>
      </c>
      <c r="H44" s="6">
        <v>24</v>
      </c>
      <c r="I44" s="6">
        <v>51</v>
      </c>
      <c r="J44" s="6">
        <v>56</v>
      </c>
      <c r="K44" s="6">
        <v>50</v>
      </c>
      <c r="L44" s="6">
        <v>51</v>
      </c>
      <c r="M44" s="6">
        <v>66</v>
      </c>
      <c r="Q44" s="6" t="s">
        <v>81</v>
      </c>
    </row>
    <row r="45" spans="1:17" x14ac:dyDescent="0.2">
      <c r="A45" s="6" t="s">
        <v>82</v>
      </c>
      <c r="B45" s="6">
        <v>17</v>
      </c>
      <c r="C45" s="6">
        <v>13</v>
      </c>
      <c r="D45" s="6">
        <v>11</v>
      </c>
      <c r="E45" s="6">
        <v>18</v>
      </c>
      <c r="F45" s="6">
        <v>22</v>
      </c>
      <c r="G45" s="6">
        <v>30</v>
      </c>
      <c r="H45" s="6">
        <v>36</v>
      </c>
      <c r="I45" s="6">
        <v>37</v>
      </c>
      <c r="J45" s="6">
        <v>47</v>
      </c>
      <c r="K45" s="6">
        <v>56</v>
      </c>
      <c r="L45" s="6">
        <v>28</v>
      </c>
      <c r="M45" s="6">
        <v>64</v>
      </c>
    </row>
    <row r="46" spans="1:17" x14ac:dyDescent="0.2">
      <c r="A46" s="6" t="s">
        <v>83</v>
      </c>
      <c r="B46" s="6">
        <v>15</v>
      </c>
      <c r="C46" s="6">
        <v>16</v>
      </c>
      <c r="D46" s="6">
        <v>10</v>
      </c>
      <c r="E46" s="6">
        <v>17</v>
      </c>
      <c r="F46" s="6">
        <v>33</v>
      </c>
      <c r="G46" s="6">
        <v>22</v>
      </c>
      <c r="H46" s="6">
        <v>36</v>
      </c>
      <c r="I46" s="6">
        <v>55</v>
      </c>
      <c r="J46" s="6">
        <v>61</v>
      </c>
      <c r="K46" s="6">
        <v>63</v>
      </c>
      <c r="L46" s="6">
        <v>51</v>
      </c>
      <c r="M46" s="6">
        <v>58</v>
      </c>
    </row>
    <row r="47" spans="1:17" x14ac:dyDescent="0.2">
      <c r="A47" s="6" t="s">
        <v>84</v>
      </c>
      <c r="B47" s="6">
        <v>11</v>
      </c>
      <c r="C47" s="6">
        <v>9</v>
      </c>
      <c r="D47" s="6">
        <v>3</v>
      </c>
      <c r="E47" s="6">
        <v>21</v>
      </c>
      <c r="F47" s="6">
        <v>22</v>
      </c>
      <c r="G47" s="6">
        <v>17</v>
      </c>
      <c r="H47" s="6">
        <v>43</v>
      </c>
      <c r="I47" s="6">
        <v>96</v>
      </c>
      <c r="J47" s="6">
        <v>73</v>
      </c>
      <c r="K47" s="6">
        <v>119</v>
      </c>
      <c r="L47" s="6">
        <v>78</v>
      </c>
      <c r="M47" s="6">
        <v>73</v>
      </c>
    </row>
    <row r="48" spans="1:17" x14ac:dyDescent="0.2">
      <c r="A48" s="6" t="s">
        <v>85</v>
      </c>
      <c r="B48" s="6">
        <v>6</v>
      </c>
      <c r="C48" s="6">
        <v>27</v>
      </c>
      <c r="D48" s="6">
        <v>27</v>
      </c>
      <c r="E48" s="6">
        <v>33</v>
      </c>
      <c r="F48" s="6">
        <v>19</v>
      </c>
      <c r="G48" s="6">
        <v>27</v>
      </c>
      <c r="H48" s="6">
        <v>33</v>
      </c>
      <c r="I48" s="6">
        <v>100</v>
      </c>
      <c r="J48" s="6">
        <v>90</v>
      </c>
      <c r="K48" s="6">
        <v>121</v>
      </c>
      <c r="L48" s="6">
        <v>131</v>
      </c>
      <c r="M48" s="6">
        <v>97</v>
      </c>
    </row>
    <row r="49" spans="1:14" x14ac:dyDescent="0.2">
      <c r="A49" s="6" t="s">
        <v>55</v>
      </c>
      <c r="B49" s="6">
        <v>0</v>
      </c>
      <c r="C49" s="6">
        <v>1</v>
      </c>
      <c r="D49" s="6">
        <v>0</v>
      </c>
      <c r="E49" s="6">
        <v>0</v>
      </c>
      <c r="F49" s="6">
        <v>1</v>
      </c>
      <c r="G49" s="6">
        <v>1</v>
      </c>
      <c r="H49" s="6">
        <v>3</v>
      </c>
      <c r="I49" s="6">
        <v>5</v>
      </c>
      <c r="J49" s="6">
        <v>2</v>
      </c>
      <c r="K49" s="6">
        <v>5</v>
      </c>
      <c r="L49" s="6">
        <v>2</v>
      </c>
      <c r="M49" s="6">
        <v>1</v>
      </c>
    </row>
    <row r="50" spans="1:14" x14ac:dyDescent="0.2">
      <c r="A50" s="24"/>
      <c r="B50" s="24">
        <f>SUBTOTAL(109,DS_M[Jan])</f>
        <v>108</v>
      </c>
      <c r="C50" s="24">
        <f>SUBTOTAL(109,DS_M[Fev])</f>
        <v>126</v>
      </c>
      <c r="D50" s="24">
        <f>SUBTOTAL(109,DS_M[Mar])</f>
        <v>90</v>
      </c>
      <c r="E50" s="24">
        <f>SUBTOTAL(109,DS_M[Abr])</f>
        <v>137</v>
      </c>
      <c r="F50" s="24">
        <f>SUBTOTAL(109,DS_M[Mai])</f>
        <v>178</v>
      </c>
      <c r="G50" s="24">
        <f>SUBTOTAL(109,DS_M[Jun])</f>
        <v>175</v>
      </c>
      <c r="H50" s="24">
        <f>SUBTOTAL(109,DS_M[Jul])</f>
        <v>236</v>
      </c>
      <c r="I50" s="24">
        <f>SUBTOTAL(109,DS_M[Ago])</f>
        <v>448</v>
      </c>
      <c r="J50" s="24">
        <f>SUBTOTAL(109,DS_M[Set])</f>
        <v>448</v>
      </c>
      <c r="K50" s="24">
        <f>SUBTOTAL(109,DS_M[Out])</f>
        <v>548</v>
      </c>
      <c r="L50" s="24">
        <f>SUBTOTAL(109,DS_M[Nov])</f>
        <v>511</v>
      </c>
      <c r="M50" s="24">
        <f>SUBTOTAL(109,DS_M[Dez])</f>
        <v>468</v>
      </c>
    </row>
    <row r="52" spans="1:14" x14ac:dyDescent="0.2">
      <c r="A52" s="51" t="s">
        <v>86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9"/>
    </row>
    <row r="53" spans="1:14" x14ac:dyDescent="0.2">
      <c r="A53" s="23" t="s">
        <v>86</v>
      </c>
      <c r="B53" s="23" t="s">
        <v>40</v>
      </c>
      <c r="C53" s="23" t="s">
        <v>41</v>
      </c>
      <c r="D53" s="23" t="s">
        <v>42</v>
      </c>
      <c r="E53" s="23" t="s">
        <v>43</v>
      </c>
      <c r="F53" s="23" t="s">
        <v>44</v>
      </c>
      <c r="G53" s="23" t="s">
        <v>45</v>
      </c>
      <c r="H53" s="23" t="s">
        <v>46</v>
      </c>
      <c r="I53" s="23" t="s">
        <v>47</v>
      </c>
      <c r="J53" s="23" t="s">
        <v>48</v>
      </c>
      <c r="K53" s="23" t="s">
        <v>49</v>
      </c>
      <c r="L53" s="23" t="s">
        <v>50</v>
      </c>
      <c r="M53" s="23" t="s">
        <v>51</v>
      </c>
      <c r="N53" s="9"/>
    </row>
    <row r="54" spans="1:14" x14ac:dyDescent="0.2">
      <c r="A54" s="12" t="s">
        <v>87</v>
      </c>
      <c r="B54" s="6">
        <v>4</v>
      </c>
      <c r="C54" s="6">
        <v>2</v>
      </c>
      <c r="D54" s="6">
        <v>2</v>
      </c>
      <c r="E54" s="6">
        <v>5</v>
      </c>
      <c r="F54" s="6">
        <v>7</v>
      </c>
      <c r="G54" s="6">
        <v>2</v>
      </c>
      <c r="H54" s="6">
        <v>8</v>
      </c>
      <c r="I54" s="6">
        <v>9</v>
      </c>
      <c r="J54" s="6">
        <v>13</v>
      </c>
      <c r="K54" s="6">
        <v>12</v>
      </c>
      <c r="L54" s="6">
        <v>10</v>
      </c>
      <c r="M54" s="6">
        <v>18</v>
      </c>
    </row>
    <row r="55" spans="1:14" x14ac:dyDescent="0.2">
      <c r="A55" s="12" t="s">
        <v>88</v>
      </c>
      <c r="B55" s="6">
        <v>20</v>
      </c>
      <c r="C55" s="6">
        <v>17</v>
      </c>
      <c r="D55" s="6">
        <v>12</v>
      </c>
      <c r="E55" s="6">
        <v>22</v>
      </c>
      <c r="F55" s="6">
        <v>19</v>
      </c>
      <c r="G55" s="6">
        <v>29</v>
      </c>
      <c r="H55" s="6">
        <v>34</v>
      </c>
      <c r="I55" s="6">
        <v>45</v>
      </c>
      <c r="J55" s="6">
        <v>53</v>
      </c>
      <c r="K55" s="6">
        <v>67</v>
      </c>
      <c r="L55" s="6">
        <v>52</v>
      </c>
      <c r="M55" s="6">
        <v>53</v>
      </c>
    </row>
    <row r="56" spans="1:14" x14ac:dyDescent="0.2">
      <c r="A56" s="11" t="s">
        <v>89</v>
      </c>
      <c r="B56" s="6">
        <v>64</v>
      </c>
      <c r="C56" s="6">
        <v>81</v>
      </c>
      <c r="D56" s="6">
        <v>29</v>
      </c>
      <c r="E56" s="6">
        <v>32</v>
      </c>
      <c r="F56" s="6">
        <v>70</v>
      </c>
      <c r="G56" s="6">
        <v>89</v>
      </c>
      <c r="H56" s="6">
        <v>96</v>
      </c>
      <c r="I56" s="6">
        <v>135</v>
      </c>
      <c r="J56" s="6">
        <v>142</v>
      </c>
      <c r="K56" s="6">
        <v>214</v>
      </c>
      <c r="L56" s="6">
        <v>215</v>
      </c>
      <c r="M56" s="6">
        <v>146</v>
      </c>
    </row>
    <row r="57" spans="1:14" x14ac:dyDescent="0.2">
      <c r="A57" s="10" t="s">
        <v>90</v>
      </c>
      <c r="B57" s="6">
        <v>2</v>
      </c>
      <c r="C57" s="6">
        <v>6</v>
      </c>
      <c r="D57" s="6">
        <v>23</v>
      </c>
      <c r="E57" s="6">
        <v>24</v>
      </c>
      <c r="F57" s="6">
        <v>12</v>
      </c>
      <c r="G57" s="6">
        <v>4</v>
      </c>
      <c r="H57" s="6">
        <v>15</v>
      </c>
      <c r="I57" s="6">
        <v>32</v>
      </c>
      <c r="J57" s="6">
        <v>36</v>
      </c>
      <c r="K57" s="6">
        <v>55</v>
      </c>
      <c r="L57" s="6">
        <v>42</v>
      </c>
      <c r="M57" s="6">
        <v>52</v>
      </c>
    </row>
    <row r="58" spans="1:14" x14ac:dyDescent="0.2">
      <c r="A58" s="10" t="s">
        <v>62</v>
      </c>
      <c r="B58" s="6">
        <v>18</v>
      </c>
      <c r="C58" s="6">
        <v>20</v>
      </c>
      <c r="D58" s="6">
        <v>24</v>
      </c>
      <c r="E58" s="6">
        <v>54</v>
      </c>
      <c r="F58" s="6">
        <v>70</v>
      </c>
      <c r="G58" s="6">
        <v>51</v>
      </c>
      <c r="H58" s="6">
        <v>83</v>
      </c>
      <c r="I58" s="6">
        <v>227</v>
      </c>
      <c r="J58" s="6">
        <v>204</v>
      </c>
      <c r="K58" s="6">
        <v>200</v>
      </c>
      <c r="L58" s="6">
        <v>192</v>
      </c>
      <c r="M58" s="6">
        <v>199</v>
      </c>
    </row>
    <row r="59" spans="1:14" ht="11.25" customHeight="1" x14ac:dyDescent="0.25">
      <c r="A59" s="26"/>
      <c r="B59" s="24">
        <f>SUBTOTAL(109,ART_M[Jan])</f>
        <v>108</v>
      </c>
      <c r="C59" s="24">
        <f>SUBTOTAL(109,ART_M[Fev])</f>
        <v>126</v>
      </c>
      <c r="D59" s="24">
        <f>SUBTOTAL(109,ART_M[Mar])</f>
        <v>90</v>
      </c>
      <c r="E59" s="24">
        <f>SUBTOTAL(109,ART_M[Abr])</f>
        <v>137</v>
      </c>
      <c r="F59" s="24">
        <f>SUBTOTAL(109,ART_M[Mai])</f>
        <v>178</v>
      </c>
      <c r="G59" s="24">
        <f>SUBTOTAL(109,ART_M[Jun])</f>
        <v>175</v>
      </c>
      <c r="H59" s="24">
        <f>SUBTOTAL(109,ART_M[Jul])</f>
        <v>236</v>
      </c>
      <c r="I59" s="24">
        <f>SUBTOTAL(109,ART_M[Ago])</f>
        <v>448</v>
      </c>
      <c r="J59" s="24">
        <f>SUBTOTAL(109,ART_M[Set])</f>
        <v>448</v>
      </c>
      <c r="K59" s="24">
        <f>SUBTOTAL(109,ART_M[Out])</f>
        <v>548</v>
      </c>
      <c r="L59" s="24">
        <f>SUBTOTAL(109,ART_M[Nov])</f>
        <v>511</v>
      </c>
      <c r="M59" s="24">
        <f>SUBTOTAL(109,ART_M[Dez])</f>
        <v>468</v>
      </c>
    </row>
    <row r="60" spans="1:14" x14ac:dyDescent="0.2">
      <c r="A60" s="10"/>
    </row>
    <row r="61" spans="1:14" x14ac:dyDescent="0.2">
      <c r="A61" s="51" t="s">
        <v>97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3"/>
    </row>
    <row r="62" spans="1:14" x14ac:dyDescent="0.2">
      <c r="A62" s="23" t="s">
        <v>97</v>
      </c>
      <c r="B62" s="23" t="s">
        <v>40</v>
      </c>
      <c r="C62" s="23" t="s">
        <v>41</v>
      </c>
      <c r="D62" s="23" t="s">
        <v>42</v>
      </c>
      <c r="E62" s="23" t="s">
        <v>43</v>
      </c>
      <c r="F62" s="23" t="s">
        <v>44</v>
      </c>
      <c r="G62" s="23" t="s">
        <v>45</v>
      </c>
      <c r="H62" s="23" t="s">
        <v>46</v>
      </c>
      <c r="I62" s="23" t="s">
        <v>47</v>
      </c>
      <c r="J62" s="23" t="s">
        <v>48</v>
      </c>
      <c r="K62" s="23" t="s">
        <v>49</v>
      </c>
      <c r="L62" s="23" t="s">
        <v>50</v>
      </c>
      <c r="M62" s="23" t="s">
        <v>51</v>
      </c>
    </row>
    <row r="63" spans="1:14" x14ac:dyDescent="0.2">
      <c r="A63" s="6" t="s">
        <v>93</v>
      </c>
      <c r="B63" s="6">
        <v>32</v>
      </c>
      <c r="C63" s="6">
        <v>39</v>
      </c>
      <c r="D63" s="6">
        <v>27</v>
      </c>
      <c r="E63" s="6">
        <v>33</v>
      </c>
      <c r="F63" s="6">
        <v>29</v>
      </c>
      <c r="G63" s="6">
        <v>46</v>
      </c>
      <c r="H63" s="6">
        <v>37</v>
      </c>
      <c r="I63" s="6">
        <v>51</v>
      </c>
      <c r="J63" s="6">
        <v>77</v>
      </c>
      <c r="K63" s="6">
        <v>84</v>
      </c>
      <c r="L63" s="6">
        <v>90</v>
      </c>
      <c r="M63" s="6">
        <v>96</v>
      </c>
    </row>
    <row r="64" spans="1:14" x14ac:dyDescent="0.2">
      <c r="A64" s="6" t="s">
        <v>94</v>
      </c>
      <c r="B64" s="6">
        <v>11</v>
      </c>
      <c r="C64" s="6">
        <v>12</v>
      </c>
      <c r="D64" s="6">
        <v>9</v>
      </c>
      <c r="E64" s="6">
        <v>14</v>
      </c>
      <c r="F64" s="6">
        <v>30</v>
      </c>
      <c r="G64" s="6">
        <v>19</v>
      </c>
      <c r="H64" s="6">
        <v>22</v>
      </c>
      <c r="I64" s="6">
        <v>29</v>
      </c>
      <c r="J64" s="6">
        <v>34</v>
      </c>
      <c r="K64" s="6">
        <v>54</v>
      </c>
      <c r="L64" s="6">
        <v>50</v>
      </c>
      <c r="M64" s="6">
        <v>35</v>
      </c>
    </row>
    <row r="65" spans="1:13" x14ac:dyDescent="0.2">
      <c r="A65" s="6" t="s">
        <v>95</v>
      </c>
      <c r="B65" s="6">
        <v>0</v>
      </c>
      <c r="C65" s="6">
        <v>2</v>
      </c>
      <c r="D65" s="6">
        <v>1</v>
      </c>
      <c r="E65" s="6">
        <v>0</v>
      </c>
      <c r="F65" s="6">
        <v>5</v>
      </c>
      <c r="G65" s="6">
        <v>2</v>
      </c>
      <c r="H65" s="6">
        <v>2</v>
      </c>
      <c r="I65" s="6">
        <v>8</v>
      </c>
      <c r="J65" s="6">
        <v>4</v>
      </c>
      <c r="K65" s="6">
        <v>3</v>
      </c>
      <c r="L65" s="6">
        <v>5</v>
      </c>
      <c r="M65" s="6">
        <v>5</v>
      </c>
    </row>
    <row r="66" spans="1:13" x14ac:dyDescent="0.2">
      <c r="A66" s="6" t="s">
        <v>98</v>
      </c>
      <c r="B66" s="6">
        <v>0</v>
      </c>
      <c r="C66" s="6">
        <v>0</v>
      </c>
      <c r="D66" s="6">
        <v>2</v>
      </c>
      <c r="E66" s="6">
        <v>0</v>
      </c>
      <c r="F66" s="6">
        <v>1</v>
      </c>
      <c r="G66" s="6">
        <v>2</v>
      </c>
      <c r="H66" s="6">
        <v>3</v>
      </c>
      <c r="I66" s="6">
        <v>1</v>
      </c>
      <c r="J66" s="6">
        <v>2</v>
      </c>
      <c r="K66" s="6">
        <v>2</v>
      </c>
      <c r="L66" s="6">
        <v>1</v>
      </c>
      <c r="M66" s="6">
        <v>1</v>
      </c>
    </row>
    <row r="67" spans="1:13" x14ac:dyDescent="0.2">
      <c r="A67" s="6" t="s">
        <v>99</v>
      </c>
      <c r="B67" s="6">
        <v>17</v>
      </c>
      <c r="C67" s="6">
        <v>2</v>
      </c>
      <c r="D67" s="6">
        <v>3</v>
      </c>
      <c r="E67" s="6">
        <v>9</v>
      </c>
      <c r="F67" s="6">
        <v>11</v>
      </c>
      <c r="G67" s="6">
        <v>13</v>
      </c>
      <c r="H67" s="6">
        <v>3</v>
      </c>
      <c r="I67" s="6">
        <v>11</v>
      </c>
      <c r="J67" s="6">
        <v>8</v>
      </c>
      <c r="K67" s="6">
        <v>13</v>
      </c>
      <c r="L67" s="6">
        <v>10</v>
      </c>
      <c r="M67" s="6">
        <v>12</v>
      </c>
    </row>
    <row r="68" spans="1:13" x14ac:dyDescent="0.2">
      <c r="A68" s="6" t="s">
        <v>100</v>
      </c>
      <c r="B68" s="6">
        <v>4</v>
      </c>
      <c r="C68" s="6">
        <v>2</v>
      </c>
      <c r="D68" s="6">
        <v>10</v>
      </c>
      <c r="E68" s="6">
        <v>6</v>
      </c>
      <c r="F68" s="6">
        <v>8</v>
      </c>
      <c r="G68" s="6">
        <v>11</v>
      </c>
      <c r="H68" s="6">
        <v>6</v>
      </c>
      <c r="I68" s="6">
        <v>21</v>
      </c>
      <c r="J68" s="6">
        <v>21</v>
      </c>
      <c r="K68" s="6">
        <v>18</v>
      </c>
      <c r="L68" s="6">
        <v>26</v>
      </c>
      <c r="M68" s="6">
        <v>21</v>
      </c>
    </row>
    <row r="69" spans="1:13" x14ac:dyDescent="0.2">
      <c r="A69" s="6" t="s">
        <v>101</v>
      </c>
      <c r="B69" s="6">
        <v>1</v>
      </c>
      <c r="C69" s="6">
        <v>2</v>
      </c>
      <c r="D69" s="6">
        <v>1</v>
      </c>
      <c r="E69" s="6">
        <v>2</v>
      </c>
      <c r="F69" s="6">
        <v>1</v>
      </c>
      <c r="G69" s="6">
        <v>4</v>
      </c>
      <c r="H69" s="6">
        <v>6</v>
      </c>
      <c r="I69" s="6">
        <v>5</v>
      </c>
      <c r="J69" s="6">
        <v>4</v>
      </c>
      <c r="K69" s="6">
        <v>3</v>
      </c>
      <c r="L69" s="6">
        <v>7</v>
      </c>
      <c r="M69" s="6">
        <v>4</v>
      </c>
    </row>
    <row r="70" spans="1:13" x14ac:dyDescent="0.2">
      <c r="A70" s="6" t="s">
        <v>102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</row>
    <row r="71" spans="1:13" x14ac:dyDescent="0.2">
      <c r="A71" s="6" t="s">
        <v>103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1</v>
      </c>
      <c r="I71" s="6">
        <v>1</v>
      </c>
      <c r="J71" s="6">
        <v>0</v>
      </c>
      <c r="K71" s="6">
        <v>0</v>
      </c>
      <c r="L71" s="6">
        <v>0</v>
      </c>
      <c r="M71" s="6">
        <v>1</v>
      </c>
    </row>
    <row r="72" spans="1:13" x14ac:dyDescent="0.2">
      <c r="A72" s="6" t="s">
        <v>104</v>
      </c>
      <c r="B72" s="6">
        <v>0</v>
      </c>
      <c r="C72" s="6">
        <v>1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</row>
    <row r="73" spans="1:13" x14ac:dyDescent="0.2">
      <c r="A73" s="6" t="s">
        <v>90</v>
      </c>
      <c r="B73" s="6">
        <v>27</v>
      </c>
      <c r="C73" s="6">
        <v>50</v>
      </c>
      <c r="D73" s="6">
        <v>34</v>
      </c>
      <c r="E73" s="6">
        <v>57</v>
      </c>
      <c r="F73" s="6">
        <v>78</v>
      </c>
      <c r="G73" s="6">
        <v>64</v>
      </c>
      <c r="H73" s="6">
        <v>133</v>
      </c>
      <c r="I73" s="6">
        <v>277</v>
      </c>
      <c r="J73" s="6">
        <v>228</v>
      </c>
      <c r="K73" s="6">
        <v>295</v>
      </c>
      <c r="L73" s="6">
        <v>277</v>
      </c>
      <c r="M73" s="6">
        <v>245</v>
      </c>
    </row>
    <row r="74" spans="1:13" x14ac:dyDescent="0.2">
      <c r="A74" s="6" t="s">
        <v>55</v>
      </c>
      <c r="B74" s="6">
        <v>16</v>
      </c>
      <c r="C74" s="6">
        <v>16</v>
      </c>
      <c r="D74" s="6">
        <v>5</v>
      </c>
      <c r="E74" s="6">
        <v>16</v>
      </c>
      <c r="F74" s="6">
        <v>13</v>
      </c>
      <c r="G74" s="6">
        <v>13</v>
      </c>
      <c r="H74" s="6">
        <v>22</v>
      </c>
      <c r="I74" s="6">
        <v>44</v>
      </c>
      <c r="J74" s="6">
        <v>70</v>
      </c>
      <c r="K74" s="6">
        <v>73</v>
      </c>
      <c r="L74" s="6">
        <v>45</v>
      </c>
      <c r="M74" s="6">
        <v>48</v>
      </c>
    </row>
    <row r="75" spans="1:13" x14ac:dyDescent="0.2">
      <c r="A75" s="24"/>
      <c r="B75" s="24">
        <f>SUBTOTAL(109,OPA_M[Jan])</f>
        <v>108</v>
      </c>
      <c r="C75" s="24">
        <f>SUBTOTAL(109,OPA_M[Fev])</f>
        <v>126</v>
      </c>
      <c r="D75" s="24">
        <f>SUBTOTAL(109,OPA_M[Mar])</f>
        <v>92</v>
      </c>
      <c r="E75" s="24">
        <f>SUBTOTAL(109,OPA_M[Abr])</f>
        <v>137</v>
      </c>
      <c r="F75" s="24">
        <f>SUBTOTAL(109,OPA_M[Mai])</f>
        <v>176</v>
      </c>
      <c r="G75" s="24">
        <f>SUBTOTAL(109,OPA_M[Jun])</f>
        <v>174</v>
      </c>
      <c r="H75" s="24">
        <f>SUBTOTAL(109,OPA_M[Jul])</f>
        <v>235</v>
      </c>
      <c r="I75" s="24">
        <f>SUBTOTAL(109,OPA_M[Ago])</f>
        <v>448</v>
      </c>
      <c r="J75" s="24">
        <f>SUBTOTAL(109,OPA_M[Set])</f>
        <v>448</v>
      </c>
      <c r="K75" s="24">
        <f>SUBTOTAL(109,OPA_M[Out])</f>
        <v>545</v>
      </c>
      <c r="L75" s="24">
        <f>SUBTOTAL(109,OPA_M[Nov])</f>
        <v>511</v>
      </c>
      <c r="M75" s="24">
        <f>SUBTOTAL(109,OPA_M[Dez])</f>
        <v>468</v>
      </c>
    </row>
    <row r="77" spans="1:13" x14ac:dyDescent="0.2">
      <c r="A77" s="51" t="s">
        <v>105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</row>
    <row r="78" spans="1:13" x14ac:dyDescent="0.2">
      <c r="A78" s="23" t="s">
        <v>105</v>
      </c>
      <c r="B78" s="23" t="s">
        <v>40</v>
      </c>
      <c r="C78" s="23" t="s">
        <v>41</v>
      </c>
      <c r="D78" s="23" t="s">
        <v>42</v>
      </c>
      <c r="E78" s="23" t="s">
        <v>43</v>
      </c>
      <c r="F78" s="23" t="s">
        <v>44</v>
      </c>
      <c r="G78" s="23" t="s">
        <v>45</v>
      </c>
      <c r="H78" s="23" t="s">
        <v>46</v>
      </c>
      <c r="I78" s="23" t="s">
        <v>47</v>
      </c>
      <c r="J78" s="23" t="s">
        <v>48</v>
      </c>
      <c r="K78" s="23" t="s">
        <v>49</v>
      </c>
      <c r="L78" s="23" t="s">
        <v>50</v>
      </c>
      <c r="M78" s="23" t="s">
        <v>51</v>
      </c>
    </row>
    <row r="79" spans="1:13" x14ac:dyDescent="0.2">
      <c r="A79" s="6" t="s">
        <v>106</v>
      </c>
      <c r="B79" s="6">
        <v>78</v>
      </c>
      <c r="C79" s="6">
        <v>78</v>
      </c>
      <c r="D79" s="6">
        <v>19</v>
      </c>
      <c r="E79" s="6">
        <v>84</v>
      </c>
      <c r="F79" s="6">
        <v>109</v>
      </c>
      <c r="G79" s="6">
        <v>79</v>
      </c>
      <c r="H79" s="6">
        <v>163</v>
      </c>
      <c r="I79" s="6">
        <v>332</v>
      </c>
      <c r="J79" s="6">
        <v>354</v>
      </c>
      <c r="K79" s="6">
        <v>443</v>
      </c>
      <c r="L79" s="6">
        <v>415</v>
      </c>
      <c r="M79" s="6">
        <v>382</v>
      </c>
    </row>
    <row r="80" spans="1:13" x14ac:dyDescent="0.2">
      <c r="A80" s="6" t="s">
        <v>107</v>
      </c>
      <c r="B80" s="6">
        <v>0</v>
      </c>
      <c r="C80" s="6">
        <v>1</v>
      </c>
      <c r="D80" s="6">
        <v>0</v>
      </c>
      <c r="E80" s="6">
        <v>1</v>
      </c>
      <c r="F80" s="6">
        <v>0</v>
      </c>
      <c r="G80" s="6">
        <v>0</v>
      </c>
      <c r="H80" s="6">
        <v>0</v>
      </c>
      <c r="I80" s="6">
        <v>0</v>
      </c>
      <c r="J80" s="6">
        <v>1</v>
      </c>
      <c r="K80" s="6">
        <v>3</v>
      </c>
      <c r="L80" s="6">
        <v>0</v>
      </c>
      <c r="M80" s="6">
        <v>0</v>
      </c>
    </row>
    <row r="81" spans="1:13" x14ac:dyDescent="0.2">
      <c r="A81" s="6" t="s">
        <v>108</v>
      </c>
      <c r="B81" s="6">
        <v>30</v>
      </c>
      <c r="C81" s="6">
        <v>42</v>
      </c>
      <c r="D81" s="6">
        <v>59</v>
      </c>
      <c r="E81" s="6">
        <v>47</v>
      </c>
      <c r="F81" s="6">
        <v>66</v>
      </c>
      <c r="G81" s="6">
        <v>90</v>
      </c>
      <c r="H81" s="6">
        <v>65</v>
      </c>
      <c r="I81" s="6">
        <v>100</v>
      </c>
      <c r="J81" s="6">
        <v>75</v>
      </c>
      <c r="K81" s="6">
        <v>83</v>
      </c>
      <c r="L81" s="6">
        <v>88</v>
      </c>
      <c r="M81" s="6">
        <v>79</v>
      </c>
    </row>
    <row r="82" spans="1:13" x14ac:dyDescent="0.2">
      <c r="A82" s="6" t="s">
        <v>109</v>
      </c>
      <c r="B82" s="6">
        <v>0</v>
      </c>
      <c r="C82" s="6">
        <v>2</v>
      </c>
      <c r="D82" s="6">
        <v>0</v>
      </c>
      <c r="E82" s="6">
        <v>1</v>
      </c>
      <c r="F82" s="6">
        <v>1</v>
      </c>
      <c r="G82" s="6">
        <v>2</v>
      </c>
      <c r="H82" s="6">
        <v>1</v>
      </c>
      <c r="I82" s="6">
        <v>3</v>
      </c>
      <c r="J82" s="6">
        <v>2</v>
      </c>
      <c r="K82" s="6">
        <v>2</v>
      </c>
      <c r="L82" s="6">
        <v>0</v>
      </c>
      <c r="M82" s="6">
        <v>0</v>
      </c>
    </row>
    <row r="83" spans="1:13" x14ac:dyDescent="0.2">
      <c r="A83" s="6" t="s">
        <v>110</v>
      </c>
      <c r="B83" s="6">
        <v>0</v>
      </c>
      <c r="C83" s="6">
        <v>1</v>
      </c>
      <c r="D83" s="6">
        <v>1</v>
      </c>
      <c r="E83" s="6">
        <v>1</v>
      </c>
      <c r="F83" s="6">
        <v>0</v>
      </c>
      <c r="G83" s="6">
        <v>0</v>
      </c>
      <c r="H83" s="6">
        <v>1</v>
      </c>
      <c r="I83" s="6">
        <v>1</v>
      </c>
      <c r="J83" s="6">
        <v>3</v>
      </c>
      <c r="K83" s="6">
        <v>4</v>
      </c>
      <c r="L83" s="6">
        <v>1</v>
      </c>
      <c r="M83" s="6">
        <v>1</v>
      </c>
    </row>
    <row r="84" spans="1:13" x14ac:dyDescent="0.2">
      <c r="A84" s="6" t="s">
        <v>111</v>
      </c>
      <c r="B84" s="6">
        <v>0</v>
      </c>
      <c r="C84" s="6">
        <v>1</v>
      </c>
      <c r="D84" s="6">
        <v>1</v>
      </c>
      <c r="E84" s="6">
        <v>1</v>
      </c>
      <c r="F84" s="6">
        <v>1</v>
      </c>
      <c r="G84" s="6">
        <v>2</v>
      </c>
      <c r="H84" s="6">
        <v>2</v>
      </c>
      <c r="I84" s="6">
        <v>2</v>
      </c>
      <c r="J84" s="6">
        <v>2</v>
      </c>
      <c r="K84" s="6">
        <v>5</v>
      </c>
      <c r="L84" s="6">
        <v>3</v>
      </c>
      <c r="M84" s="6">
        <v>0</v>
      </c>
    </row>
    <row r="85" spans="1:13" x14ac:dyDescent="0.2">
      <c r="A85" s="6" t="s">
        <v>90</v>
      </c>
      <c r="B85" s="6">
        <v>0</v>
      </c>
      <c r="C85" s="6">
        <v>1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</row>
    <row r="86" spans="1:13" x14ac:dyDescent="0.2">
      <c r="A86" s="6" t="s">
        <v>55</v>
      </c>
      <c r="B86" s="6">
        <v>0</v>
      </c>
      <c r="C86" s="6">
        <v>0</v>
      </c>
      <c r="D86" s="6">
        <v>10</v>
      </c>
      <c r="E86" s="6">
        <v>2</v>
      </c>
      <c r="F86" s="6">
        <v>1</v>
      </c>
      <c r="G86" s="6">
        <v>2</v>
      </c>
      <c r="H86" s="6">
        <v>4</v>
      </c>
      <c r="I86" s="6">
        <v>10</v>
      </c>
      <c r="J86" s="6">
        <v>11</v>
      </c>
      <c r="K86" s="6">
        <v>8</v>
      </c>
      <c r="L86" s="6">
        <v>4</v>
      </c>
      <c r="M86" s="6">
        <v>6</v>
      </c>
    </row>
    <row r="87" spans="1:13" x14ac:dyDescent="0.2">
      <c r="A87" s="24"/>
      <c r="B87" s="24">
        <f>SUBTOTAL(109,EVO_M[Jan])</f>
        <v>108</v>
      </c>
      <c r="C87" s="24">
        <f>SUBTOTAL(109,EVO_M[Fev])</f>
        <v>126</v>
      </c>
      <c r="D87" s="24">
        <f>SUBTOTAL(109,EVO_M[Mar])</f>
        <v>90</v>
      </c>
      <c r="E87" s="24">
        <f>SUBTOTAL(109,EVO_M[Abr])</f>
        <v>137</v>
      </c>
      <c r="F87" s="24">
        <f>SUBTOTAL(109,EVO_M[Mai])</f>
        <v>178</v>
      </c>
      <c r="G87" s="24">
        <f>SUBTOTAL(109,EVO_M[Jun])</f>
        <v>175</v>
      </c>
      <c r="H87" s="24">
        <f>SUBTOTAL(109,EVO_M[Jul])</f>
        <v>236</v>
      </c>
      <c r="I87" s="24">
        <f>SUBTOTAL(109,EVO_M[Ago])</f>
        <v>448</v>
      </c>
      <c r="J87" s="24">
        <f>SUBTOTAL(109,EVO_M[Set])</f>
        <v>448</v>
      </c>
      <c r="K87" s="24">
        <f>SUBTOTAL(109,EVO_M[Out])</f>
        <v>548</v>
      </c>
      <c r="L87" s="24">
        <f>SUBTOTAL(109,EVO_M[Nov])</f>
        <v>511</v>
      </c>
      <c r="M87" s="24">
        <f>SUBTOTAL(109,EVO_M[Dez])</f>
        <v>468</v>
      </c>
    </row>
  </sheetData>
  <mergeCells count="9">
    <mergeCell ref="A52:M52"/>
    <mergeCell ref="A61:M61"/>
    <mergeCell ref="A77:M77"/>
    <mergeCell ref="A1:M1"/>
    <mergeCell ref="A5:M5"/>
    <mergeCell ref="A12:M12"/>
    <mergeCell ref="A23:M23"/>
    <mergeCell ref="A31:M31"/>
    <mergeCell ref="A40:M40"/>
  </mergeCells>
  <pageMargins left="0.511811024" right="0.511811024" top="0.78740157499999996" bottom="0.78740157499999996" header="0.31496062000000002" footer="0.31496062000000002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A2" sqref="A2:O2"/>
    </sheetView>
  </sheetViews>
  <sheetFormatPr defaultRowHeight="11.25" x14ac:dyDescent="0.2"/>
  <cols>
    <col min="1" max="1" width="31" style="1" bestFit="1" customWidth="1"/>
    <col min="2" max="16384" width="9.140625" style="1"/>
  </cols>
  <sheetData>
    <row r="2" spans="1:15" ht="15.75" x14ac:dyDescent="0.25">
      <c r="A2" s="60" t="s">
        <v>113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x14ac:dyDescent="0.2">
      <c r="A3" s="16" t="s">
        <v>114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21" t="s">
        <v>27</v>
      </c>
    </row>
    <row r="4" spans="1:15" x14ac:dyDescent="0.2">
      <c r="A4" s="16" t="s">
        <v>115</v>
      </c>
      <c r="B4" s="3">
        <v>3</v>
      </c>
      <c r="C4" s="3">
        <v>13</v>
      </c>
      <c r="D4" s="3">
        <v>17</v>
      </c>
      <c r="E4" s="3">
        <v>23</v>
      </c>
      <c r="F4" s="3">
        <v>16</v>
      </c>
      <c r="G4" s="3">
        <v>18</v>
      </c>
      <c r="H4" s="3">
        <v>15</v>
      </c>
      <c r="I4" s="3">
        <v>10</v>
      </c>
      <c r="J4" s="3">
        <v>24</v>
      </c>
      <c r="K4" s="3">
        <v>18</v>
      </c>
      <c r="L4" s="3">
        <v>12</v>
      </c>
      <c r="M4" s="3">
        <v>19</v>
      </c>
      <c r="N4" s="3">
        <f>SUM(CIR_ESPEC[[#This Row],[JAN]:[DEZ]])</f>
        <v>188</v>
      </c>
      <c r="O4" s="22">
        <f>CIR_ESPEC[[#This Row],[2015]]/CIR_ESPEC[[#Totals],[2015]]</f>
        <v>5.575326215895611E-2</v>
      </c>
    </row>
    <row r="5" spans="1:15" x14ac:dyDescent="0.2">
      <c r="A5" s="16" t="s">
        <v>116</v>
      </c>
      <c r="B5" s="3">
        <v>40</v>
      </c>
      <c r="C5" s="3">
        <v>35</v>
      </c>
      <c r="D5" s="3">
        <v>64</v>
      </c>
      <c r="E5" s="3">
        <v>64</v>
      </c>
      <c r="F5" s="3">
        <v>95</v>
      </c>
      <c r="G5" s="3">
        <v>93</v>
      </c>
      <c r="H5" s="3">
        <v>48</v>
      </c>
      <c r="I5" s="3">
        <v>57</v>
      </c>
      <c r="J5" s="3">
        <v>50</v>
      </c>
      <c r="K5" s="3">
        <v>79</v>
      </c>
      <c r="L5" s="3">
        <v>64</v>
      </c>
      <c r="M5" s="3">
        <v>33</v>
      </c>
      <c r="N5" s="3">
        <f>SUM(CIR_ESPEC[[#This Row],[JAN]:[DEZ]])</f>
        <v>722</v>
      </c>
      <c r="O5" s="22">
        <f>CIR_ESPEC[[#This Row],[2015]]/CIR_ESPEC[[#Totals],[2015]]</f>
        <v>0.21411625148279953</v>
      </c>
    </row>
    <row r="6" spans="1:15" x14ac:dyDescent="0.2">
      <c r="A6" s="16" t="s">
        <v>117</v>
      </c>
      <c r="B6" s="3">
        <v>0</v>
      </c>
      <c r="C6" s="3">
        <v>0</v>
      </c>
      <c r="D6" s="3">
        <v>3</v>
      </c>
      <c r="E6" s="3">
        <v>2</v>
      </c>
      <c r="F6" s="3">
        <v>8</v>
      </c>
      <c r="G6" s="3">
        <v>1</v>
      </c>
      <c r="H6" s="3">
        <v>1</v>
      </c>
      <c r="I6" s="3">
        <v>3</v>
      </c>
      <c r="J6" s="3">
        <v>2</v>
      </c>
      <c r="K6" s="3">
        <v>4</v>
      </c>
      <c r="L6" s="3">
        <v>1</v>
      </c>
      <c r="M6" s="3">
        <v>2</v>
      </c>
      <c r="N6" s="3">
        <f>SUM(CIR_ESPEC[[#This Row],[JAN]:[DEZ]])</f>
        <v>27</v>
      </c>
      <c r="O6" s="22">
        <f>CIR_ESPEC[[#This Row],[2015]]/CIR_ESPEC[[#Totals],[2015]]</f>
        <v>8.0071174377224202E-3</v>
      </c>
    </row>
    <row r="7" spans="1:15" x14ac:dyDescent="0.2">
      <c r="A7" s="16" t="s">
        <v>118</v>
      </c>
      <c r="B7" s="3">
        <v>72</v>
      </c>
      <c r="C7" s="3">
        <v>57</v>
      </c>
      <c r="D7" s="3">
        <v>96</v>
      </c>
      <c r="E7" s="3">
        <v>55</v>
      </c>
      <c r="F7" s="3">
        <v>66</v>
      </c>
      <c r="G7" s="3">
        <v>69</v>
      </c>
      <c r="H7" s="3">
        <v>80</v>
      </c>
      <c r="I7" s="3">
        <v>68</v>
      </c>
      <c r="J7" s="3">
        <v>58</v>
      </c>
      <c r="K7" s="3">
        <v>54</v>
      </c>
      <c r="L7" s="3">
        <v>66</v>
      </c>
      <c r="M7" s="3">
        <v>41</v>
      </c>
      <c r="N7" s="3">
        <f>SUM(CIR_ESPEC[[#This Row],[JAN]:[DEZ]])</f>
        <v>782</v>
      </c>
      <c r="O7" s="22">
        <f>CIR_ESPEC[[#This Row],[2015]]/CIR_ESPEC[[#Totals],[2015]]</f>
        <v>0.23190984578884935</v>
      </c>
    </row>
    <row r="8" spans="1:15" x14ac:dyDescent="0.2">
      <c r="A8" s="16" t="s">
        <v>119</v>
      </c>
      <c r="B8" s="3">
        <v>14</v>
      </c>
      <c r="C8" s="3">
        <v>29</v>
      </c>
      <c r="D8" s="3">
        <v>34</v>
      </c>
      <c r="E8" s="3">
        <v>26</v>
      </c>
      <c r="F8" s="3">
        <v>37</v>
      </c>
      <c r="G8" s="3">
        <v>31</v>
      </c>
      <c r="H8" s="3">
        <v>32</v>
      </c>
      <c r="I8" s="3">
        <v>26</v>
      </c>
      <c r="J8" s="3">
        <v>29</v>
      </c>
      <c r="K8" s="3">
        <v>28</v>
      </c>
      <c r="L8" s="3">
        <v>11</v>
      </c>
      <c r="M8" s="3">
        <v>30</v>
      </c>
      <c r="N8" s="3">
        <f>SUM(CIR_ESPEC[[#This Row],[JAN]:[DEZ]])</f>
        <v>327</v>
      </c>
      <c r="O8" s="22">
        <f>CIR_ESPEC[[#This Row],[2015]]/CIR_ESPEC[[#Totals],[2015]]</f>
        <v>9.6975088967971523E-2</v>
      </c>
    </row>
    <row r="9" spans="1:15" x14ac:dyDescent="0.2">
      <c r="A9" s="16" t="s">
        <v>120</v>
      </c>
      <c r="B9" s="3">
        <v>94</v>
      </c>
      <c r="C9" s="3">
        <v>85</v>
      </c>
      <c r="D9" s="3">
        <v>114</v>
      </c>
      <c r="E9" s="3">
        <v>120</v>
      </c>
      <c r="F9" s="3">
        <v>157</v>
      </c>
      <c r="G9" s="3">
        <v>131</v>
      </c>
      <c r="H9" s="3">
        <v>103</v>
      </c>
      <c r="I9" s="3">
        <v>108</v>
      </c>
      <c r="J9" s="3">
        <v>70</v>
      </c>
      <c r="K9" s="3">
        <v>77</v>
      </c>
      <c r="L9" s="3">
        <v>103</v>
      </c>
      <c r="M9" s="3">
        <v>128</v>
      </c>
      <c r="N9" s="3">
        <f>SUM(CIR_ESPEC[[#This Row],[JAN]:[DEZ]])</f>
        <v>1290</v>
      </c>
      <c r="O9" s="22">
        <f>CIR_ESPEC[[#This Row],[2015]]/CIR_ESPEC[[#Totals],[2015]]</f>
        <v>0.38256227758007116</v>
      </c>
    </row>
    <row r="10" spans="1:15" x14ac:dyDescent="0.2">
      <c r="A10" s="16" t="s">
        <v>121</v>
      </c>
      <c r="B10" s="3">
        <v>1</v>
      </c>
      <c r="C10" s="3">
        <v>1</v>
      </c>
      <c r="D10" s="3">
        <v>1</v>
      </c>
      <c r="E10" s="3">
        <v>2</v>
      </c>
      <c r="F10" s="3">
        <v>2</v>
      </c>
      <c r="G10" s="3">
        <v>0</v>
      </c>
      <c r="H10" s="3">
        <v>3</v>
      </c>
      <c r="I10" s="3">
        <v>0</v>
      </c>
      <c r="J10" s="3">
        <v>0</v>
      </c>
      <c r="K10" s="3">
        <v>1</v>
      </c>
      <c r="L10" s="3">
        <v>2</v>
      </c>
      <c r="M10" s="3">
        <v>1</v>
      </c>
      <c r="N10" s="3">
        <f>SUM(CIR_ESPEC[[#This Row],[JAN]:[DEZ]])</f>
        <v>14</v>
      </c>
      <c r="O10" s="22">
        <f>CIR_ESPEC[[#This Row],[2015]]/CIR_ESPEC[[#Totals],[2015]]</f>
        <v>4.1518386714116248E-3</v>
      </c>
    </row>
    <row r="11" spans="1:15" x14ac:dyDescent="0.2">
      <c r="A11" s="16" t="s">
        <v>122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4</v>
      </c>
      <c r="H11" s="3">
        <v>0</v>
      </c>
      <c r="I11" s="3">
        <v>1</v>
      </c>
      <c r="J11" s="3">
        <v>3</v>
      </c>
      <c r="K11" s="3">
        <v>3</v>
      </c>
      <c r="L11" s="3">
        <v>9</v>
      </c>
      <c r="M11" s="3">
        <v>1</v>
      </c>
      <c r="N11" s="3">
        <f>SUM(CIR_ESPEC[[#This Row],[JAN]:[DEZ]])</f>
        <v>22</v>
      </c>
      <c r="O11" s="22">
        <f>CIR_ESPEC[[#This Row],[2015]]/CIR_ESPEC[[#Totals],[2015]]</f>
        <v>6.5243179122182679E-3</v>
      </c>
    </row>
    <row r="12" spans="1:15" x14ac:dyDescent="0.2">
      <c r="A12" s="28"/>
      <c r="B12" s="29">
        <f>SUM(CIR_ESPEC[JAN])</f>
        <v>224</v>
      </c>
      <c r="C12" s="29">
        <f>SUM(CIR_ESPEC[FEV])</f>
        <v>220</v>
      </c>
      <c r="D12" s="29">
        <f>SUM(CIR_ESPEC[MAR])</f>
        <v>329</v>
      </c>
      <c r="E12" s="29">
        <f>SUM(CIR_ESPEC[ABR])</f>
        <v>292</v>
      </c>
      <c r="F12" s="29">
        <f>SUM(CIR_ESPEC[MAI])</f>
        <v>382</v>
      </c>
      <c r="G12" s="29">
        <f>SUM(CIR_ESPEC[JUN])</f>
        <v>347</v>
      </c>
      <c r="H12" s="29">
        <f>SUM(CIR_ESPEC[JUL])</f>
        <v>282</v>
      </c>
      <c r="I12" s="29">
        <f>SUM(CIR_ESPEC[AGO])</f>
        <v>273</v>
      </c>
      <c r="J12" s="29">
        <f>SUM(CIR_ESPEC[SET])</f>
        <v>236</v>
      </c>
      <c r="K12" s="29">
        <f>SUM(CIR_ESPEC[OUT])</f>
        <v>264</v>
      </c>
      <c r="L12" s="29">
        <f>SUM(CIR_ESPEC[NOV])</f>
        <v>268</v>
      </c>
      <c r="M12" s="29">
        <f>SUM(CIR_ESPEC[DEZ])</f>
        <v>255</v>
      </c>
      <c r="N12" s="29">
        <f>SUM(CIR_ESPEC[2015])</f>
        <v>3372</v>
      </c>
      <c r="O12" s="30">
        <f>SUM(CIR_ESPEC[2015 (%)])</f>
        <v>1.0000000000000002</v>
      </c>
    </row>
  </sheetData>
  <mergeCells count="1">
    <mergeCell ref="A2:O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1"/>
  <sheetViews>
    <sheetView workbookViewId="0">
      <selection activeCell="A2" sqref="A2:N2"/>
    </sheetView>
  </sheetViews>
  <sheetFormatPr defaultRowHeight="11.25" x14ac:dyDescent="0.2"/>
  <cols>
    <col min="1" max="1" width="23.140625" style="1" bestFit="1" customWidth="1"/>
    <col min="2" max="16384" width="9.140625" style="1"/>
  </cols>
  <sheetData>
    <row r="2" spans="1:14" ht="15.75" x14ac:dyDescent="0.25">
      <c r="A2" s="60" t="s">
        <v>123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x14ac:dyDescent="0.2">
      <c r="A3" s="1" t="s">
        <v>124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8" t="s">
        <v>15</v>
      </c>
    </row>
    <row r="4" spans="1:14" x14ac:dyDescent="0.2">
      <c r="A4" s="1" t="s">
        <v>125</v>
      </c>
      <c r="B4" s="3">
        <v>19246</v>
      </c>
      <c r="C4" s="3">
        <v>17700</v>
      </c>
      <c r="D4" s="3">
        <v>20334</v>
      </c>
      <c r="E4" s="3">
        <v>19172</v>
      </c>
      <c r="F4" s="3">
        <v>18428</v>
      </c>
      <c r="G4" s="3">
        <v>18407</v>
      </c>
      <c r="H4" s="3">
        <f>20226+359</f>
        <v>20585</v>
      </c>
      <c r="I4" s="3">
        <f>15860+387</f>
        <v>16247</v>
      </c>
      <c r="J4" s="3">
        <f>16382+241+31+487</f>
        <v>17141</v>
      </c>
      <c r="K4" s="3">
        <f>16425+45+75+306</f>
        <v>16851</v>
      </c>
      <c r="L4" s="3">
        <f>8129+707</f>
        <v>8836</v>
      </c>
      <c r="M4" s="3">
        <v>10429</v>
      </c>
      <c r="N4" s="19">
        <f>SUM(EXAMES[[#This Row],[JAN]:[DEZ]])</f>
        <v>203376</v>
      </c>
    </row>
    <row r="5" spans="1:14" x14ac:dyDescent="0.2">
      <c r="A5" s="1" t="s">
        <v>126</v>
      </c>
      <c r="B5" s="3">
        <v>2693</v>
      </c>
      <c r="C5" s="3">
        <v>2164</v>
      </c>
      <c r="D5" s="3">
        <v>2956</v>
      </c>
      <c r="E5" s="3">
        <v>3024</v>
      </c>
      <c r="F5" s="3">
        <v>1693</v>
      </c>
      <c r="G5" s="3">
        <v>3492</v>
      </c>
      <c r="H5" s="3">
        <v>3344</v>
      </c>
      <c r="I5" s="3">
        <v>3229</v>
      </c>
      <c r="J5" s="3">
        <v>2714</v>
      </c>
      <c r="K5" s="3">
        <v>3214</v>
      </c>
      <c r="L5" s="3">
        <v>3164</v>
      </c>
      <c r="M5" s="3">
        <v>4886</v>
      </c>
      <c r="N5" s="19">
        <f>SUM(EXAMES[[#This Row],[JAN]:[DEZ]])</f>
        <v>36573</v>
      </c>
    </row>
    <row r="6" spans="1:14" x14ac:dyDescent="0.2">
      <c r="A6" s="1" t="s">
        <v>127</v>
      </c>
      <c r="B6" s="3">
        <v>36</v>
      </c>
      <c r="C6" s="3">
        <v>166</v>
      </c>
      <c r="D6" s="3">
        <v>159</v>
      </c>
      <c r="E6" s="3">
        <v>175</v>
      </c>
      <c r="F6" s="3">
        <v>160</v>
      </c>
      <c r="G6" s="3">
        <v>187</v>
      </c>
      <c r="H6" s="3">
        <v>210</v>
      </c>
      <c r="I6" s="3">
        <v>188</v>
      </c>
      <c r="J6" s="3">
        <v>205</v>
      </c>
      <c r="K6" s="3">
        <v>177</v>
      </c>
      <c r="L6" s="3">
        <v>161</v>
      </c>
      <c r="M6" s="3">
        <v>172</v>
      </c>
      <c r="N6" s="19">
        <f>SUM(EXAMES[[#This Row],[JAN]:[DEZ]])</f>
        <v>1996</v>
      </c>
    </row>
    <row r="7" spans="1:14" x14ac:dyDescent="0.2">
      <c r="A7" s="1" t="s">
        <v>128</v>
      </c>
      <c r="B7" s="3">
        <v>348</v>
      </c>
      <c r="C7" s="3">
        <v>357</v>
      </c>
      <c r="D7" s="3">
        <f>464+2</f>
        <v>466</v>
      </c>
      <c r="E7" s="3">
        <f>370+12</f>
        <v>382</v>
      </c>
      <c r="F7" s="3">
        <f>479+22</f>
        <v>501</v>
      </c>
      <c r="G7" s="3">
        <f>586+14</f>
        <v>600</v>
      </c>
      <c r="H7" s="3">
        <f>508+23</f>
        <v>531</v>
      </c>
      <c r="I7" s="3">
        <f>593+11</f>
        <v>604</v>
      </c>
      <c r="J7" s="3">
        <f>656+11</f>
        <v>667</v>
      </c>
      <c r="K7" s="3">
        <v>661</v>
      </c>
      <c r="L7" s="3">
        <v>628</v>
      </c>
      <c r="M7" s="3">
        <v>591</v>
      </c>
      <c r="N7" s="19">
        <f>SUM(EXAMES[[#This Row],[JAN]:[DEZ]])</f>
        <v>6336</v>
      </c>
    </row>
    <row r="8" spans="1:14" x14ac:dyDescent="0.2">
      <c r="A8" s="1" t="s">
        <v>129</v>
      </c>
      <c r="B8" s="3">
        <v>0</v>
      </c>
      <c r="C8" s="3">
        <v>0</v>
      </c>
      <c r="D8" s="3">
        <v>7</v>
      </c>
      <c r="E8" s="3">
        <v>15</v>
      </c>
      <c r="F8" s="3">
        <v>28</v>
      </c>
      <c r="G8" s="3">
        <v>66</v>
      </c>
      <c r="H8" s="3">
        <v>32</v>
      </c>
      <c r="I8" s="3">
        <v>44</v>
      </c>
      <c r="J8" s="3">
        <v>29</v>
      </c>
      <c r="K8" s="3">
        <v>25</v>
      </c>
      <c r="L8" s="3">
        <v>26</v>
      </c>
      <c r="M8" s="3">
        <v>32</v>
      </c>
      <c r="N8" s="19">
        <f>SUM(EXAMES[[#This Row],[JAN]:[DEZ]])</f>
        <v>304</v>
      </c>
    </row>
    <row r="9" spans="1:14" x14ac:dyDescent="0.2">
      <c r="A9" s="1" t="s">
        <v>130</v>
      </c>
      <c r="B9" s="3">
        <v>0</v>
      </c>
      <c r="C9" s="3">
        <v>0</v>
      </c>
      <c r="D9" s="3">
        <v>3</v>
      </c>
      <c r="E9" s="3">
        <v>9</v>
      </c>
      <c r="F9" s="3">
        <v>15</v>
      </c>
      <c r="G9" s="3">
        <v>10</v>
      </c>
      <c r="H9" s="3">
        <v>11</v>
      </c>
      <c r="I9" s="3">
        <v>4</v>
      </c>
      <c r="J9" s="3">
        <v>1</v>
      </c>
      <c r="K9" s="3">
        <v>9</v>
      </c>
      <c r="L9" s="3">
        <v>9</v>
      </c>
      <c r="M9" s="3"/>
      <c r="N9" s="19">
        <f>SUM(EXAMES[[#This Row],[JAN]:[DEZ]])</f>
        <v>71</v>
      </c>
    </row>
    <row r="10" spans="1:14" x14ac:dyDescent="0.2">
      <c r="A10" s="1" t="s">
        <v>131</v>
      </c>
      <c r="B10" s="3">
        <v>5</v>
      </c>
      <c r="C10" s="3">
        <v>30</v>
      </c>
      <c r="D10" s="3">
        <v>25</v>
      </c>
      <c r="E10" s="3">
        <v>16</v>
      </c>
      <c r="F10" s="3">
        <v>38</v>
      </c>
      <c r="G10" s="3">
        <v>33</v>
      </c>
      <c r="H10" s="3">
        <v>41</v>
      </c>
      <c r="I10" s="3">
        <v>25</v>
      </c>
      <c r="J10" s="3">
        <v>32</v>
      </c>
      <c r="K10" s="3">
        <v>54</v>
      </c>
      <c r="L10" s="3">
        <v>41</v>
      </c>
      <c r="M10" s="3">
        <v>36</v>
      </c>
      <c r="N10" s="19">
        <f>SUM(EXAMES[[#This Row],[JAN]:[DEZ]])</f>
        <v>376</v>
      </c>
    </row>
    <row r="11" spans="1:14" x14ac:dyDescent="0.2">
      <c r="B11" s="3">
        <f>SUBTOTAL(109,EXAMES[JAN])</f>
        <v>22328</v>
      </c>
      <c r="C11" s="3">
        <f>SUBTOTAL(109,EXAMES[FEV])</f>
        <v>20417</v>
      </c>
      <c r="D11" s="3">
        <f>SUBTOTAL(109,EXAMES[MAR])</f>
        <v>23950</v>
      </c>
      <c r="E11" s="3">
        <f>SUBTOTAL(109,EXAMES[ABR])</f>
        <v>22793</v>
      </c>
      <c r="F11" s="3">
        <f>SUBTOTAL(109,EXAMES[MAI])</f>
        <v>20863</v>
      </c>
      <c r="G11" s="3">
        <f>SUBTOTAL(109,EXAMES[JUN])</f>
        <v>22795</v>
      </c>
      <c r="H11" s="3">
        <f>SUBTOTAL(109,EXAMES[JUL])</f>
        <v>24754</v>
      </c>
      <c r="I11" s="3">
        <f>SUBTOTAL(109,EXAMES[AGO])</f>
        <v>20341</v>
      </c>
      <c r="J11" s="3">
        <f>SUBTOTAL(109,EXAMES[SET])</f>
        <v>20789</v>
      </c>
      <c r="K11" s="3">
        <f>SUBTOTAL(109,EXAMES[OUT])</f>
        <v>20991</v>
      </c>
      <c r="L11" s="3">
        <f>SUBTOTAL(109,EXAMES[NOV])</f>
        <v>12865</v>
      </c>
      <c r="M11" s="3">
        <f>SUBTOTAL(109,EXAMES[DEZ])</f>
        <v>16146</v>
      </c>
      <c r="N11" s="20">
        <f>SUBTOTAL(109,EXAMES[2015])</f>
        <v>249032</v>
      </c>
    </row>
  </sheetData>
  <mergeCells count="1">
    <mergeCell ref="A2:N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Indicadores Hospitalares</vt:lpstr>
      <vt:lpstr>Atendimentos</vt:lpstr>
      <vt:lpstr>ATT</vt:lpstr>
      <vt:lpstr>ATT (MOTO)</vt:lpstr>
      <vt:lpstr>Cirurgias</vt:lpstr>
      <vt:lpstr>Exames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2019-11-08T13:04:43Z</dcterms:created>
  <dcterms:modified xsi:type="dcterms:W3CDTF">2019-11-08T13:04:47Z</dcterms:modified>
  <cp:category/>
  <cp:contentStatus/>
</cp:coreProperties>
</file>